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356A3406B4574C3A95FAA70F3F672EC1" descr=" "/>
        <xdr:cNvPicPr/>
      </xdr:nvPicPr>
      <xdr:blipFill>
        <a:blip r:embed="rId1"/>
        <a:srcRect/>
        <a:stretch>
          <a:fillRect/>
        </a:stretch>
      </xdr:blipFill>
      <xdr:spPr>
        <a:xfrm>
          <a:off x="1866900" y="36099752"/>
          <a:ext cx="1371600" cy="95249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" name="ID_52622AE8E305403787F8976ADF712438" descr=" "/>
        <xdr:cNvPicPr/>
      </xdr:nvPicPr>
      <xdr:blipFill>
        <a:blip r:embed="rId2"/>
        <a:srcRect/>
        <a:stretch>
          <a:fillRect/>
        </a:stretch>
      </xdr:blipFill>
      <xdr:spPr>
        <a:xfrm>
          <a:off x="2140585" y="6451600"/>
          <a:ext cx="955675" cy="645795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" name="ID_CD41F7ADA09E4532BC1D43754EF23224" descr="/Users/macbook/Library/Containers/com.kingsoft.wpsoffice.mac/Data/tmp/photoeditapp/20240325150210/temp.pngtemp"/>
        <xdr:cNvPicPr/>
      </xdr:nvPicPr>
      <xdr:blipFill>
        <a:blip r:embed="rId3"/>
        <a:srcRect/>
        <a:stretch>
          <a:fillRect/>
        </a:stretch>
      </xdr:blipFill>
      <xdr:spPr>
        <a:xfrm>
          <a:off x="3150235" y="36800156"/>
          <a:ext cx="1143635" cy="734692"/>
        </a:xfrm>
        <a:prstGeom prst="rect">
          <a:avLst/>
        </a:prstGeom>
        <a:noFill/>
        <a:ln>
          <a:noFill/>
        </a:ln>
        <a:effectLst>
          <a:outerShdw dist="38100" dir="2699999" algn="tl" rotWithShape="0">
            <a:srgbClr val="000000">
              <a:alpha val="39999"/>
            </a:srgbClr>
          </a:outerShdw>
        </a:effectLst>
      </xdr:spPr>
    </xdr:pic>
  </etc:cellImage>
  <etc:cellImage>
    <xdr:pic>
      <xdr:nvPicPr>
        <xdr:cNvPr id="5" name="ID_BAE62408038A42A7A5878B058C37D881" descr=" "/>
        <xdr:cNvPicPr/>
      </xdr:nvPicPr>
      <xdr:blipFill>
        <a:blip r:embed="rId4"/>
        <a:srcRect/>
        <a:stretch>
          <a:fillRect/>
        </a:stretch>
      </xdr:blipFill>
      <xdr:spPr>
        <a:xfrm>
          <a:off x="5277485" y="19593560"/>
          <a:ext cx="600075" cy="84645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6" name="ID_CB063ACCD74C4CE59C93F1B389320F47" descr=" "/>
        <xdr:cNvPicPr/>
      </xdr:nvPicPr>
      <xdr:blipFill>
        <a:blip r:embed="rId5"/>
        <a:srcRect/>
        <a:stretch>
          <a:fillRect/>
        </a:stretch>
      </xdr:blipFill>
      <xdr:spPr>
        <a:xfrm>
          <a:off x="2190750" y="114440336"/>
          <a:ext cx="1238250" cy="15411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7" name="ID_880799889D1B46C3B1207138C6D0BA9E" descr=" "/>
        <xdr:cNvPicPr/>
      </xdr:nvPicPr>
      <xdr:blipFill>
        <a:blip r:embed="rId6"/>
        <a:srcRect/>
        <a:stretch>
          <a:fillRect/>
        </a:stretch>
      </xdr:blipFill>
      <xdr:spPr>
        <a:xfrm>
          <a:off x="1762125" y="163901760"/>
          <a:ext cx="1356360" cy="79438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8" name="ID_1B869CF38F5C45B88EAD8D4DA1FAD617" descr="0J3A1057"/>
        <xdr:cNvPicPr/>
      </xdr:nvPicPr>
      <xdr:blipFill>
        <a:blip r:embed="rId7"/>
        <a:srcRect/>
        <a:stretch>
          <a:fillRect/>
        </a:stretch>
      </xdr:blipFill>
      <xdr:spPr>
        <a:xfrm>
          <a:off x="4363085" y="56312436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9" name="ID_AD9AFFFB4F59416FAED10C2232D9EFC6" descr="0J3A2486"/>
        <xdr:cNvPicPr/>
      </xdr:nvPicPr>
      <xdr:blipFill>
        <a:blip r:embed="rId8"/>
        <a:srcRect/>
        <a:stretch>
          <a:fillRect/>
        </a:stretch>
      </xdr:blipFill>
      <xdr:spPr>
        <a:xfrm>
          <a:off x="4380865" y="68661912"/>
          <a:ext cx="1189990" cy="793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0" name="ID_AF1C5A3C64EB448BA9658C7E78599584" descr="0J3A1037"/>
        <xdr:cNvPicPr/>
      </xdr:nvPicPr>
      <xdr:blipFill>
        <a:blip r:embed="rId9"/>
        <a:srcRect/>
        <a:stretch>
          <a:fillRect/>
        </a:stretch>
      </xdr:blipFill>
      <xdr:spPr>
        <a:xfrm>
          <a:off x="4380865" y="71405112"/>
          <a:ext cx="1189990" cy="793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1" name="ID_C3B444D7FA8946E08130F11454EF406F" descr=" "/>
        <xdr:cNvPicPr/>
      </xdr:nvPicPr>
      <xdr:blipFill>
        <a:blip r:embed="rId10"/>
        <a:srcRect/>
        <a:stretch>
          <a:fillRect/>
        </a:stretch>
      </xdr:blipFill>
      <xdr:spPr>
        <a:xfrm>
          <a:off x="2200275" y="38915976"/>
          <a:ext cx="808355" cy="62992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2" name="ID_4EBDC9C3A22347378AA56EE1EB537E95" descr=" "/>
        <xdr:cNvPicPr/>
      </xdr:nvPicPr>
      <xdr:blipFill>
        <a:blip r:embed="rId11"/>
        <a:srcRect/>
        <a:stretch>
          <a:fillRect/>
        </a:stretch>
      </xdr:blipFill>
      <xdr:spPr>
        <a:xfrm>
          <a:off x="3143250" y="18291176"/>
          <a:ext cx="1333500" cy="56197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3" name="ID_A30F10C1B49F451E927ED8FD556D52B1" descr="0J3A2563"/>
        <xdr:cNvPicPr/>
      </xdr:nvPicPr>
      <xdr:blipFill>
        <a:blip r:embed="rId12"/>
        <a:srcRect/>
        <a:stretch>
          <a:fillRect/>
        </a:stretch>
      </xdr:blipFill>
      <xdr:spPr>
        <a:xfrm>
          <a:off x="4380865" y="15132050"/>
          <a:ext cx="1189990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4" name="ID_7098E94394AD4AF089F9E16DA18E8972" descr=" "/>
        <xdr:cNvPicPr/>
      </xdr:nvPicPr>
      <xdr:blipFill>
        <a:blip r:embed="rId13"/>
        <a:srcRect/>
        <a:stretch>
          <a:fillRect/>
        </a:stretch>
      </xdr:blipFill>
      <xdr:spPr>
        <a:xfrm>
          <a:off x="1943100" y="25763220"/>
          <a:ext cx="800100" cy="8001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5" name="ID_3499E646BD1F43199FA63EC7B6A8D97A" descr=" "/>
        <xdr:cNvPicPr/>
      </xdr:nvPicPr>
      <xdr:blipFill>
        <a:blip r:embed="rId14"/>
        <a:srcRect/>
        <a:stretch>
          <a:fillRect/>
        </a:stretch>
      </xdr:blipFill>
      <xdr:spPr>
        <a:xfrm>
          <a:off x="2105660" y="86267288"/>
          <a:ext cx="958215" cy="66548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6" name="ID_869138F794FA435BB8C150768505F42E" descr=" "/>
        <xdr:cNvPicPr/>
      </xdr:nvPicPr>
      <xdr:blipFill>
        <a:blip r:embed="rId15"/>
        <a:srcRect/>
        <a:stretch>
          <a:fillRect/>
        </a:stretch>
      </xdr:blipFill>
      <xdr:spPr>
        <a:xfrm>
          <a:off x="1985010" y="156358592"/>
          <a:ext cx="1696720" cy="56515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7" name="ID_7BBF3DD158D94E918BCA1545314D0BEB" descr="QQ图片20170410161532.jpg"/>
        <xdr:cNvPicPr/>
      </xdr:nvPicPr>
      <xdr:blipFill>
        <a:blip r:embed="rId16"/>
        <a:srcRect b="40836"/>
        <a:stretch>
          <a:fillRect/>
        </a:stretch>
      </xdr:blipFill>
      <xdr:spPr>
        <a:xfrm>
          <a:off x="4321810" y="106297096"/>
          <a:ext cx="1090295" cy="13430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8" name="ID_015C9FE0F02D479B9B57FFE1983607BD" descr=" "/>
        <xdr:cNvPicPr/>
      </xdr:nvPicPr>
      <xdr:blipFill>
        <a:blip r:embed="rId17"/>
        <a:srcRect/>
        <a:stretch>
          <a:fillRect/>
        </a:stretch>
      </xdr:blipFill>
      <xdr:spPr>
        <a:xfrm>
          <a:off x="5028565" y="30194250"/>
          <a:ext cx="1201420" cy="84582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9" name="ID_53CAF385E23348E0B405E51B64303E14" descr=" "/>
        <xdr:cNvPicPr/>
      </xdr:nvPicPr>
      <xdr:blipFill>
        <a:blip r:embed="rId18"/>
        <a:srcRect/>
        <a:stretch>
          <a:fillRect/>
        </a:stretch>
      </xdr:blipFill>
      <xdr:spPr>
        <a:xfrm>
          <a:off x="2446655" y="48257460"/>
          <a:ext cx="321945" cy="7835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0" name="ID_ACCEE78923EE415BAE06F8EC25DE0CE7" descr=" "/>
        <xdr:cNvPicPr/>
      </xdr:nvPicPr>
      <xdr:blipFill>
        <a:blip r:embed="rId19"/>
        <a:srcRect/>
        <a:stretch>
          <a:fillRect/>
        </a:stretch>
      </xdr:blipFill>
      <xdr:spPr>
        <a:xfrm>
          <a:off x="4143375" y="64539496"/>
          <a:ext cx="1628775" cy="86677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1" name="ID_180EF5799F5649629E8059F4408F9F9E" descr="0J3A0944"/>
        <xdr:cNvPicPr/>
      </xdr:nvPicPr>
      <xdr:blipFill>
        <a:blip r:embed="rId20"/>
        <a:srcRect/>
        <a:stretch>
          <a:fillRect/>
        </a:stretch>
      </xdr:blipFill>
      <xdr:spPr>
        <a:xfrm>
          <a:off x="4534535" y="103075104"/>
          <a:ext cx="1028700" cy="69659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2" name="ID_1E6365F2AFDE4D8F82301DD51A9BAFE1" descr="0J3A1056"/>
        <xdr:cNvPicPr/>
      </xdr:nvPicPr>
      <xdr:blipFill>
        <a:blip r:embed="rId21"/>
        <a:srcRect/>
        <a:stretch>
          <a:fillRect/>
        </a:stretch>
      </xdr:blipFill>
      <xdr:spPr>
        <a:xfrm>
          <a:off x="4380865" y="41181656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3" name="ID_50FC84591A8E40E8974C47A9A08AF992" descr=" "/>
        <xdr:cNvPicPr/>
      </xdr:nvPicPr>
      <xdr:blipFill>
        <a:blip r:embed="rId22"/>
        <a:srcRect/>
        <a:stretch>
          <a:fillRect/>
        </a:stretch>
      </xdr:blipFill>
      <xdr:spPr>
        <a:xfrm>
          <a:off x="2486025" y="176487456"/>
          <a:ext cx="371475" cy="163892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4" name="ID_41D6B63EA2F4481FBB52A5FB16A054C4" descr=" "/>
        <xdr:cNvPicPr/>
      </xdr:nvPicPr>
      <xdr:blipFill>
        <a:blip r:embed="rId23"/>
        <a:srcRect/>
        <a:stretch>
          <a:fillRect/>
        </a:stretch>
      </xdr:blipFill>
      <xdr:spPr>
        <a:xfrm>
          <a:off x="2038350" y="3883025"/>
          <a:ext cx="1057275" cy="78994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5" name="ID_813AA2A514E244C09202B7820BA635CE" descr=" "/>
        <xdr:cNvPicPr/>
      </xdr:nvPicPr>
      <xdr:blipFill>
        <a:blip r:embed="rId24"/>
        <a:srcRect/>
        <a:stretch>
          <a:fillRect/>
        </a:stretch>
      </xdr:blipFill>
      <xdr:spPr>
        <a:xfrm>
          <a:off x="1863090" y="102183568"/>
          <a:ext cx="1125855" cy="172720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6" name="ID_EFD1602E83D040C5BF77BE4DB7A88C11" descr=" "/>
        <xdr:cNvPicPr/>
      </xdr:nvPicPr>
      <xdr:blipFill>
        <a:blip r:embed="rId25"/>
        <a:srcRect/>
        <a:stretch>
          <a:fillRect/>
        </a:stretch>
      </xdr:blipFill>
      <xdr:spPr>
        <a:xfrm>
          <a:off x="1495425" y="9382125"/>
          <a:ext cx="1885950" cy="122872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7" name="ID_29C0D81B00ED45D7940049E8A571549C" descr=" "/>
        <xdr:cNvPicPr/>
      </xdr:nvPicPr>
      <xdr:blipFill>
        <a:blip r:embed="rId26"/>
        <a:srcRect/>
        <a:stretch>
          <a:fillRect/>
        </a:stretch>
      </xdr:blipFill>
      <xdr:spPr>
        <a:xfrm>
          <a:off x="2352675" y="59601736"/>
          <a:ext cx="1152525" cy="83058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8" name="ID_13414919714E4AAA9D915C031DD94937" descr=" "/>
        <xdr:cNvPicPr/>
      </xdr:nvPicPr>
      <xdr:blipFill>
        <a:blip r:embed="rId27"/>
        <a:srcRect/>
        <a:stretch>
          <a:fillRect/>
        </a:stretch>
      </xdr:blipFill>
      <xdr:spPr>
        <a:xfrm>
          <a:off x="1933575" y="75889488"/>
          <a:ext cx="1562100" cy="14287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9" name="ID_2297F537CD31415B8F2CC0649C962EC0" descr="0J3A2484"/>
        <xdr:cNvPicPr/>
      </xdr:nvPicPr>
      <xdr:blipFill>
        <a:blip r:embed="rId28"/>
        <a:srcRect/>
        <a:stretch>
          <a:fillRect/>
        </a:stretch>
      </xdr:blipFill>
      <xdr:spPr>
        <a:xfrm>
          <a:off x="4467225" y="20779104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0" name="ID_1E231AFBA23649739E38404CC8D27CC1" descr=" "/>
        <xdr:cNvPicPr/>
      </xdr:nvPicPr>
      <xdr:blipFill>
        <a:blip r:embed="rId29"/>
        <a:srcRect/>
        <a:stretch>
          <a:fillRect/>
        </a:stretch>
      </xdr:blipFill>
      <xdr:spPr>
        <a:xfrm>
          <a:off x="1774190" y="104458768"/>
          <a:ext cx="1758950" cy="116967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1" name="ID_2AB53F68B8A64F9F8CD971A26E390FD5" descr=" "/>
        <xdr:cNvPicPr/>
      </xdr:nvPicPr>
      <xdr:blipFill>
        <a:blip r:embed="rId30"/>
        <a:srcRect/>
        <a:stretch>
          <a:fillRect/>
        </a:stretch>
      </xdr:blipFill>
      <xdr:spPr>
        <a:xfrm>
          <a:off x="3085465" y="13594715"/>
          <a:ext cx="1428750" cy="69977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2" name="ID_2971B35A6D1B40DA8223691AAC8C9590" descr=" "/>
        <xdr:cNvPicPr/>
      </xdr:nvPicPr>
      <xdr:blipFill>
        <a:blip r:embed="rId31"/>
        <a:srcRect/>
        <a:stretch>
          <a:fillRect/>
        </a:stretch>
      </xdr:blipFill>
      <xdr:spPr>
        <a:xfrm flipV="1">
          <a:off x="1732915" y="85006176"/>
          <a:ext cx="1544955" cy="32893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3" name="ID_4A56F232909444F18D62E39DC125A38B" descr=" "/>
        <xdr:cNvPicPr/>
      </xdr:nvPicPr>
      <xdr:blipFill>
        <a:blip r:embed="rId32"/>
        <a:srcRect/>
        <a:stretch>
          <a:fillRect/>
        </a:stretch>
      </xdr:blipFill>
      <xdr:spPr>
        <a:xfrm>
          <a:off x="1854200" y="47307500"/>
          <a:ext cx="1093470" cy="66230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4" name="ID_2A495BB53CD247D0B31814CEBE4CE825" descr=" "/>
        <xdr:cNvPicPr/>
      </xdr:nvPicPr>
      <xdr:blipFill>
        <a:blip r:embed="rId33"/>
        <a:srcRect/>
        <a:stretch>
          <a:fillRect/>
        </a:stretch>
      </xdr:blipFill>
      <xdr:spPr>
        <a:xfrm>
          <a:off x="4696460" y="59044840"/>
          <a:ext cx="619760" cy="91630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5" name="ID_C17F919BE1F54F058E979B902328A33F" descr=" "/>
        <xdr:cNvPicPr/>
      </xdr:nvPicPr>
      <xdr:blipFill>
        <a:blip r:embed="rId34"/>
        <a:srcRect/>
        <a:stretch>
          <a:fillRect/>
        </a:stretch>
      </xdr:blipFill>
      <xdr:spPr>
        <a:xfrm>
          <a:off x="1552575" y="82692240"/>
          <a:ext cx="1743075" cy="25622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6" name="ID_AD525A164F0140BCB6BC10D87702640C" descr=" "/>
        <xdr:cNvPicPr/>
      </xdr:nvPicPr>
      <xdr:blipFill>
        <a:blip r:embed="rId35"/>
        <a:srcRect/>
        <a:stretch>
          <a:fillRect/>
        </a:stretch>
      </xdr:blipFill>
      <xdr:spPr>
        <a:xfrm>
          <a:off x="1852930" y="17481550"/>
          <a:ext cx="1388110" cy="279844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7" name="ID_47A3CBCF6E0847419B94B8F8AE9E58D6" descr=" "/>
        <xdr:cNvPicPr/>
      </xdr:nvPicPr>
      <xdr:blipFill>
        <a:blip r:embed="rId36"/>
        <a:srcRect/>
        <a:stretch>
          <a:fillRect/>
        </a:stretch>
      </xdr:blipFill>
      <xdr:spPr>
        <a:xfrm>
          <a:off x="5038090" y="11533505"/>
          <a:ext cx="1018540" cy="112649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8" name="ID_3D333836D29B402E9B47D81496E24FF2" descr=" "/>
        <xdr:cNvPicPr/>
      </xdr:nvPicPr>
      <xdr:blipFill>
        <a:blip r:embed="rId37"/>
        <a:srcRect/>
        <a:stretch>
          <a:fillRect/>
        </a:stretch>
      </xdr:blipFill>
      <xdr:spPr>
        <a:xfrm>
          <a:off x="2496185" y="4439285"/>
          <a:ext cx="857250" cy="766445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9" name="ID_3145854196AD411F97F2CEFC9C8AB9AC" descr=" "/>
        <xdr:cNvPicPr/>
      </xdr:nvPicPr>
      <xdr:blipFill>
        <a:blip r:embed="rId38"/>
        <a:srcRect/>
        <a:stretch>
          <a:fillRect/>
        </a:stretch>
      </xdr:blipFill>
      <xdr:spPr>
        <a:xfrm>
          <a:off x="2028190" y="93982544"/>
          <a:ext cx="979805" cy="73215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0" name="ID_B8BF5F8677094E19B67EDDA5E7DFFB3B" descr=" "/>
        <xdr:cNvPicPr/>
      </xdr:nvPicPr>
      <xdr:blipFill>
        <a:blip r:embed="rId39"/>
        <a:srcRect/>
        <a:stretch>
          <a:fillRect/>
        </a:stretch>
      </xdr:blipFill>
      <xdr:spPr>
        <a:xfrm>
          <a:off x="3133090" y="21586824"/>
          <a:ext cx="1351915" cy="61150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1" name="ID_B3B88AE960D04769B2EA7020BC96B59E" descr=" "/>
        <xdr:cNvPicPr/>
      </xdr:nvPicPr>
      <xdr:blipFill>
        <a:blip r:embed="rId40"/>
        <a:srcRect/>
        <a:stretch>
          <a:fillRect/>
        </a:stretch>
      </xdr:blipFill>
      <xdr:spPr>
        <a:xfrm>
          <a:off x="1933575" y="15773400"/>
          <a:ext cx="1066800" cy="10858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2" name="ID_278CCD80FDF34C5B931EDD2E75A54B23" descr=" "/>
        <xdr:cNvPicPr/>
      </xdr:nvPicPr>
      <xdr:blipFill>
        <a:blip r:embed="rId41"/>
        <a:srcRect/>
        <a:stretch>
          <a:fillRect/>
        </a:stretch>
      </xdr:blipFill>
      <xdr:spPr>
        <a:xfrm>
          <a:off x="1724025" y="41665524"/>
          <a:ext cx="552450" cy="63817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3" name="ID_DE6B16F2DED849DB9DA264FDCA84155E" descr=" "/>
        <xdr:cNvPicPr/>
      </xdr:nvPicPr>
      <xdr:blipFill>
        <a:blip r:embed="rId42"/>
        <a:srcRect/>
        <a:stretch>
          <a:fillRect/>
        </a:stretch>
      </xdr:blipFill>
      <xdr:spPr>
        <a:xfrm>
          <a:off x="2092325" y="58535568"/>
          <a:ext cx="1464945" cy="85026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4" name="ID_6E2DC55FE5FD400485B99CB7CC30646F" descr=" "/>
        <xdr:cNvPicPr/>
      </xdr:nvPicPr>
      <xdr:blipFill>
        <a:blip r:embed="rId43"/>
        <a:srcRect/>
        <a:stretch>
          <a:fillRect/>
        </a:stretch>
      </xdr:blipFill>
      <xdr:spPr>
        <a:xfrm>
          <a:off x="2091055" y="78799688"/>
          <a:ext cx="952500" cy="78740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5" name="ID_CCA7F3B44A1E46B894A8705CEDAF85DB" descr=" "/>
        <xdr:cNvPicPr/>
      </xdr:nvPicPr>
      <xdr:blipFill>
        <a:blip r:embed="rId44"/>
        <a:srcRect/>
        <a:stretch>
          <a:fillRect/>
        </a:stretch>
      </xdr:blipFill>
      <xdr:spPr>
        <a:xfrm>
          <a:off x="1713865" y="58710196"/>
          <a:ext cx="1541145" cy="97154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6" name="ID_52E5295039244B9985B995B973763EA9" descr=" "/>
        <xdr:cNvPicPr/>
      </xdr:nvPicPr>
      <xdr:blipFill>
        <a:blip r:embed="rId45"/>
        <a:srcRect/>
        <a:stretch>
          <a:fillRect/>
        </a:stretch>
      </xdr:blipFill>
      <xdr:spPr>
        <a:xfrm>
          <a:off x="2076450" y="13726160"/>
          <a:ext cx="971550" cy="271145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7" name="ID_ECAC999D00BA491A96E3C1F6BD0FF02B" descr=" "/>
        <xdr:cNvPicPr/>
      </xdr:nvPicPr>
      <xdr:blipFill>
        <a:blip r:embed="rId46"/>
        <a:srcRect/>
        <a:stretch>
          <a:fillRect/>
        </a:stretch>
      </xdr:blipFill>
      <xdr:spPr>
        <a:xfrm>
          <a:off x="2105660" y="50977164"/>
          <a:ext cx="1078865" cy="73215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8" name="ID_6579AE172CDD438FBFF915A0B9F71470" descr=" "/>
        <xdr:cNvPicPr/>
      </xdr:nvPicPr>
      <xdr:blipFill>
        <a:blip r:embed="rId47"/>
        <a:srcRect/>
        <a:stretch>
          <a:fillRect/>
        </a:stretch>
      </xdr:blipFill>
      <xdr:spPr>
        <a:xfrm>
          <a:off x="1590040" y="49601756"/>
          <a:ext cx="1868170" cy="97662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9" name="ID_F51DD5381F6E45738CA43F360CAF51BD" descr=" "/>
        <xdr:cNvPicPr/>
      </xdr:nvPicPr>
      <xdr:blipFill>
        <a:blip r:embed="rId48"/>
        <a:srcRect/>
        <a:stretch>
          <a:fillRect/>
        </a:stretch>
      </xdr:blipFill>
      <xdr:spPr>
        <a:xfrm>
          <a:off x="2152650" y="98339272"/>
          <a:ext cx="1132840" cy="100330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50" name="ID_C06501AA022249A9979D110112505CED" descr=" "/>
        <xdr:cNvPicPr/>
      </xdr:nvPicPr>
      <xdr:blipFill>
        <a:blip r:embed="rId49"/>
        <a:srcRect/>
        <a:stretch>
          <a:fillRect/>
        </a:stretch>
      </xdr:blipFill>
      <xdr:spPr>
        <a:xfrm>
          <a:off x="3009900" y="11611610"/>
          <a:ext cx="1523365" cy="68199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51" name="ID_4B62509EE3EA482AB89A7DA5F007405F" descr=" "/>
        <xdr:cNvPicPr/>
      </xdr:nvPicPr>
      <xdr:blipFill>
        <a:blip r:embed="rId50"/>
        <a:srcRect/>
        <a:stretch>
          <a:fillRect/>
        </a:stretch>
      </xdr:blipFill>
      <xdr:spPr>
        <a:xfrm>
          <a:off x="1798320" y="126488192"/>
          <a:ext cx="859790" cy="119316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52" name="ID_4DB2C55A8AF049F2A1F3D490247E27B0" descr=" "/>
        <xdr:cNvPicPr/>
      </xdr:nvPicPr>
      <xdr:blipFill>
        <a:blip r:embed="rId51"/>
        <a:srcRect/>
        <a:stretch>
          <a:fillRect/>
        </a:stretch>
      </xdr:blipFill>
      <xdr:spPr>
        <a:xfrm>
          <a:off x="2047875" y="119327296"/>
          <a:ext cx="996315" cy="95186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53" name="ID_D66E7B0593A24C109F51463514346D4A" descr=" "/>
        <xdr:cNvPicPr/>
      </xdr:nvPicPr>
      <xdr:blipFill>
        <a:blip r:embed="rId52"/>
        <a:srcRect/>
        <a:stretch>
          <a:fillRect/>
        </a:stretch>
      </xdr:blipFill>
      <xdr:spPr>
        <a:xfrm>
          <a:off x="1895475" y="47982504"/>
          <a:ext cx="1263650" cy="86106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54" name="ID_94B191134BB04DB5911B2847BA6FBC26" descr=" "/>
        <xdr:cNvPicPr/>
      </xdr:nvPicPr>
      <xdr:blipFill>
        <a:blip r:embed="rId53"/>
        <a:srcRect/>
        <a:stretch>
          <a:fillRect/>
        </a:stretch>
      </xdr:blipFill>
      <xdr:spPr>
        <a:xfrm>
          <a:off x="1990725" y="99077144"/>
          <a:ext cx="1000760" cy="74231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55" name="ID_DDF11CCB0D6A45928A4F2C8ADFEF6B96" descr=" "/>
        <xdr:cNvPicPr/>
      </xdr:nvPicPr>
      <xdr:blipFill>
        <a:blip r:embed="rId54"/>
        <a:srcRect/>
        <a:stretch>
          <a:fillRect/>
        </a:stretch>
      </xdr:blipFill>
      <xdr:spPr>
        <a:xfrm>
          <a:off x="2190750" y="97049592"/>
          <a:ext cx="819150" cy="56388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56" name="ID_4AB49ED0D18C47D7A128B91C4FF772DC" descr=" "/>
        <xdr:cNvPicPr/>
      </xdr:nvPicPr>
      <xdr:blipFill>
        <a:blip r:embed="rId55"/>
        <a:srcRect/>
        <a:stretch>
          <a:fillRect/>
        </a:stretch>
      </xdr:blipFill>
      <xdr:spPr>
        <a:xfrm>
          <a:off x="1933575" y="23881080"/>
          <a:ext cx="1285875" cy="159067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57" name="ID_F436F2396FBE4E0E83FD8791D9D21F2B" descr=" "/>
        <xdr:cNvPicPr/>
      </xdr:nvPicPr>
      <xdr:blipFill>
        <a:blip r:embed="rId56"/>
        <a:srcRect/>
        <a:stretch>
          <a:fillRect/>
        </a:stretch>
      </xdr:blipFill>
      <xdr:spPr>
        <a:xfrm>
          <a:off x="2209800" y="7385685"/>
          <a:ext cx="885825" cy="166687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58" name="ID_A6A29A878B7649AE8896446BA752BD46" descr=" "/>
        <xdr:cNvPicPr/>
      </xdr:nvPicPr>
      <xdr:blipFill>
        <a:blip r:embed="rId57"/>
        <a:srcRect/>
        <a:stretch>
          <a:fillRect/>
        </a:stretch>
      </xdr:blipFill>
      <xdr:spPr>
        <a:xfrm>
          <a:off x="1752600" y="3440430"/>
          <a:ext cx="1076325" cy="10477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59" name="ID_432E3927021643CBBA5D15BD0E4129A6" descr=" "/>
        <xdr:cNvPicPr/>
      </xdr:nvPicPr>
      <xdr:blipFill>
        <a:blip r:embed="rId58"/>
        <a:srcRect/>
        <a:stretch>
          <a:fillRect/>
        </a:stretch>
      </xdr:blipFill>
      <xdr:spPr>
        <a:xfrm>
          <a:off x="3437890" y="32474536"/>
          <a:ext cx="742950" cy="71628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60" name="ID_41B1B7C2CD674D54B300C9C0451E6286" descr=" "/>
        <xdr:cNvPicPr/>
      </xdr:nvPicPr>
      <xdr:blipFill>
        <a:blip r:embed="rId59"/>
        <a:srcRect/>
        <a:stretch>
          <a:fillRect/>
        </a:stretch>
      </xdr:blipFill>
      <xdr:spPr>
        <a:xfrm>
          <a:off x="4867275" y="36241356"/>
          <a:ext cx="1362710" cy="36194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61" name="ID_DDD86FB593A7430A9AC54DF34397C725" descr=" "/>
        <xdr:cNvPicPr/>
      </xdr:nvPicPr>
      <xdr:blipFill>
        <a:blip r:embed="rId60"/>
        <a:srcRect/>
        <a:stretch>
          <a:fillRect/>
        </a:stretch>
      </xdr:blipFill>
      <xdr:spPr>
        <a:xfrm>
          <a:off x="4914900" y="16391255"/>
          <a:ext cx="1315085" cy="1059181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62" name="ID_0E3C3539B20D4950B37F212E390D8405" descr=" "/>
        <xdr:cNvPicPr/>
      </xdr:nvPicPr>
      <xdr:blipFill>
        <a:blip r:embed="rId61"/>
        <a:srcRect/>
        <a:stretch>
          <a:fillRect/>
        </a:stretch>
      </xdr:blipFill>
      <xdr:spPr>
        <a:xfrm>
          <a:off x="1841500" y="115324256"/>
          <a:ext cx="1002665" cy="18764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63" name="ID_3CD51CAD8B9B41A6B0EF7288D81FA008" descr=" "/>
        <xdr:cNvPicPr/>
      </xdr:nvPicPr>
      <xdr:blipFill>
        <a:blip r:embed="rId62"/>
        <a:srcRect/>
        <a:stretch>
          <a:fillRect/>
        </a:stretch>
      </xdr:blipFill>
      <xdr:spPr>
        <a:xfrm>
          <a:off x="3028950" y="90910408"/>
          <a:ext cx="560070" cy="82677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64" name="ID_12E31924FBA14BA89E9822CFB86F80D7" descr=" "/>
        <xdr:cNvPicPr/>
      </xdr:nvPicPr>
      <xdr:blipFill>
        <a:blip r:embed="rId63"/>
        <a:srcRect/>
        <a:stretch>
          <a:fillRect/>
        </a:stretch>
      </xdr:blipFill>
      <xdr:spPr>
        <a:xfrm>
          <a:off x="1792605" y="90998672"/>
          <a:ext cx="1341755" cy="9848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65" name="ID_DE099A2B7DB44F2C9386969922F9DEA2" descr=" "/>
        <xdr:cNvPicPr/>
      </xdr:nvPicPr>
      <xdr:blipFill>
        <a:blip r:embed="rId64"/>
        <a:srcRect/>
        <a:stretch>
          <a:fillRect/>
        </a:stretch>
      </xdr:blipFill>
      <xdr:spPr>
        <a:xfrm>
          <a:off x="4924425" y="34260156"/>
          <a:ext cx="1305560" cy="108838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66" name="ID_AD754030906B4025ADE2F0AE62D019F9" descr=" "/>
        <xdr:cNvPicPr/>
      </xdr:nvPicPr>
      <xdr:blipFill>
        <a:blip r:embed="rId65"/>
        <a:srcRect/>
        <a:stretch>
          <a:fillRect/>
        </a:stretch>
      </xdr:blipFill>
      <xdr:spPr>
        <a:xfrm>
          <a:off x="2509520" y="125386464"/>
          <a:ext cx="791845" cy="139001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67" name="ID_E63398C4BEB044E6A5E7539C94BD3DDB" descr="0J3A1188"/>
        <xdr:cNvPicPr/>
      </xdr:nvPicPr>
      <xdr:blipFill>
        <a:blip r:embed="rId66"/>
        <a:srcRect/>
        <a:stretch>
          <a:fillRect/>
        </a:stretch>
      </xdr:blipFill>
      <xdr:spPr>
        <a:xfrm>
          <a:off x="4476750" y="112499776"/>
          <a:ext cx="1076325" cy="72326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68" name="ID_D94F69BF15714449A3B720F96DBD3D49" descr=" "/>
        <xdr:cNvPicPr/>
      </xdr:nvPicPr>
      <xdr:blipFill>
        <a:blip r:embed="rId67"/>
        <a:srcRect/>
        <a:stretch>
          <a:fillRect/>
        </a:stretch>
      </xdr:blipFill>
      <xdr:spPr>
        <a:xfrm>
          <a:off x="2266950" y="49261396"/>
          <a:ext cx="923925" cy="107505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69" name="ID_B86C2D8BC29E43FBB3188BB67526739F" descr=" "/>
        <xdr:cNvPicPr/>
      </xdr:nvPicPr>
      <xdr:blipFill>
        <a:blip r:embed="rId68"/>
        <a:srcRect/>
        <a:stretch>
          <a:fillRect/>
        </a:stretch>
      </xdr:blipFill>
      <xdr:spPr>
        <a:xfrm rot="16200000">
          <a:off x="2550795" y="57131584"/>
          <a:ext cx="441960" cy="149479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70" name="ID_5789BFDEB9A7468FB3040DFF202E98D7" descr=" "/>
        <xdr:cNvPicPr/>
      </xdr:nvPicPr>
      <xdr:blipFill>
        <a:blip r:embed="rId69"/>
        <a:srcRect/>
        <a:stretch>
          <a:fillRect/>
        </a:stretch>
      </xdr:blipFill>
      <xdr:spPr>
        <a:xfrm>
          <a:off x="1995805" y="40132636"/>
          <a:ext cx="1494790" cy="93218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71" name="ID_504019F7C2A542CFB98A7366E686D4BA" descr=" "/>
        <xdr:cNvPicPr/>
      </xdr:nvPicPr>
      <xdr:blipFill>
        <a:blip r:embed="rId70"/>
        <a:srcRect/>
        <a:stretch>
          <a:fillRect/>
        </a:stretch>
      </xdr:blipFill>
      <xdr:spPr>
        <a:xfrm>
          <a:off x="2200275" y="153150576"/>
          <a:ext cx="624840" cy="79438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72" name="ID_8FFCD5CEE8F340789301B3CC30C092BF" descr="0J3A2477"/>
        <xdr:cNvPicPr/>
      </xdr:nvPicPr>
      <xdr:blipFill>
        <a:blip r:embed="rId71"/>
        <a:srcRect/>
        <a:stretch>
          <a:fillRect/>
        </a:stretch>
      </xdr:blipFill>
      <xdr:spPr>
        <a:xfrm>
          <a:off x="4552315" y="79618840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73" name="ID_2C3E025C6200473D95F02C661C8515F1" descr=" "/>
        <xdr:cNvPicPr/>
      </xdr:nvPicPr>
      <xdr:blipFill>
        <a:blip r:embed="rId72"/>
        <a:srcRect/>
        <a:stretch>
          <a:fillRect/>
        </a:stretch>
      </xdr:blipFill>
      <xdr:spPr>
        <a:xfrm>
          <a:off x="2009140" y="81667352"/>
          <a:ext cx="843915" cy="87884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74" name="ID_D79E19702D084A6CBBB2A13174544B55" descr=" "/>
        <xdr:cNvPicPr/>
      </xdr:nvPicPr>
      <xdr:blipFill>
        <a:blip r:embed="rId73"/>
        <a:srcRect/>
        <a:stretch>
          <a:fillRect/>
        </a:stretch>
      </xdr:blipFill>
      <xdr:spPr>
        <a:xfrm>
          <a:off x="2200275" y="87683976"/>
          <a:ext cx="659130" cy="61658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75" name="ID_082D1D39D53242F095F91F63CA9CEBB0" descr=" "/>
        <xdr:cNvPicPr/>
      </xdr:nvPicPr>
      <xdr:blipFill>
        <a:blip r:embed="rId74"/>
        <a:srcRect/>
        <a:stretch>
          <a:fillRect/>
        </a:stretch>
      </xdr:blipFill>
      <xdr:spPr>
        <a:xfrm>
          <a:off x="5000625" y="1049655"/>
          <a:ext cx="1048385" cy="114427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76" name="ID_1199F641725041668476BEFF103DB1DD" descr=" "/>
        <xdr:cNvPicPr/>
      </xdr:nvPicPr>
      <xdr:blipFill>
        <a:blip r:embed="rId75"/>
        <a:srcRect/>
        <a:stretch>
          <a:fillRect/>
        </a:stretch>
      </xdr:blipFill>
      <xdr:spPr>
        <a:xfrm>
          <a:off x="2094865" y="122481976"/>
          <a:ext cx="839470" cy="216535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77" name="ID_4F9064632A364144A4CA7A6A04D54E5A" descr=" "/>
        <xdr:cNvPicPr/>
      </xdr:nvPicPr>
      <xdr:blipFill>
        <a:blip r:embed="rId76"/>
        <a:srcRect/>
        <a:stretch>
          <a:fillRect/>
        </a:stretch>
      </xdr:blipFill>
      <xdr:spPr>
        <a:xfrm>
          <a:off x="1994535" y="124419992"/>
          <a:ext cx="772160" cy="235585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78" name="ID_53F786E11593476584172DBF23CD73FA" descr=" "/>
        <xdr:cNvPicPr/>
      </xdr:nvPicPr>
      <xdr:blipFill>
        <a:blip r:embed="rId77"/>
        <a:srcRect/>
        <a:stretch>
          <a:fillRect/>
        </a:stretch>
      </xdr:blipFill>
      <xdr:spPr>
        <a:xfrm>
          <a:off x="2200275" y="32933004"/>
          <a:ext cx="567690" cy="61658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79" name="ID_E7A9EE0683B54D45AB0F270380B34FDC" descr=" "/>
        <xdr:cNvPicPr/>
      </xdr:nvPicPr>
      <xdr:blipFill>
        <a:blip r:embed="rId78"/>
        <a:srcRect/>
        <a:stretch>
          <a:fillRect/>
        </a:stretch>
      </xdr:blipFill>
      <xdr:spPr>
        <a:xfrm>
          <a:off x="5000625" y="59930032"/>
          <a:ext cx="1229360" cy="89661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80" name="ID_B2DDF0141BF5447090D930EF20BE3CD6" descr=" "/>
        <xdr:cNvPicPr/>
      </xdr:nvPicPr>
      <xdr:blipFill>
        <a:blip r:embed="rId79"/>
        <a:srcRect/>
        <a:stretch>
          <a:fillRect/>
        </a:stretch>
      </xdr:blipFill>
      <xdr:spPr>
        <a:xfrm>
          <a:off x="2392680" y="92870016"/>
          <a:ext cx="612775" cy="5022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81" name="ID_261FF18BD8CF4A0D96AD9970263018C5" descr=" "/>
        <xdr:cNvPicPr/>
      </xdr:nvPicPr>
      <xdr:blipFill>
        <a:blip r:embed="rId80"/>
        <a:srcRect/>
        <a:stretch>
          <a:fillRect/>
        </a:stretch>
      </xdr:blipFill>
      <xdr:spPr>
        <a:xfrm>
          <a:off x="1828800" y="148527136"/>
          <a:ext cx="1533525" cy="115507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82" name="ID_1AAB139176934BD1A57C634FAA6C714F" descr=" "/>
        <xdr:cNvPicPr/>
      </xdr:nvPicPr>
      <xdr:blipFill>
        <a:blip r:embed="rId81"/>
        <a:srcRect/>
        <a:stretch>
          <a:fillRect/>
        </a:stretch>
      </xdr:blipFill>
      <xdr:spPr>
        <a:xfrm>
          <a:off x="3114675" y="172728896"/>
          <a:ext cx="782955" cy="7207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83" name="ID_222FE1194C4A4C58AD20996933DA095E" descr=" "/>
        <xdr:cNvPicPr/>
      </xdr:nvPicPr>
      <xdr:blipFill>
        <a:blip r:embed="rId82"/>
        <a:srcRect/>
        <a:stretch>
          <a:fillRect/>
        </a:stretch>
      </xdr:blipFill>
      <xdr:spPr>
        <a:xfrm>
          <a:off x="2200275" y="31337884"/>
          <a:ext cx="638810" cy="66548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84" name="ID_40334232E46047B384DEC9732D476B39" descr=" "/>
        <xdr:cNvPicPr/>
      </xdr:nvPicPr>
      <xdr:blipFill>
        <a:blip r:embed="rId83"/>
        <a:srcRect/>
        <a:stretch>
          <a:fillRect/>
        </a:stretch>
      </xdr:blipFill>
      <xdr:spPr>
        <a:xfrm>
          <a:off x="4914900" y="28700730"/>
          <a:ext cx="1315085" cy="91567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85" name="ID_3DF1C331D95C4DEF896F1B1273D41B31" descr=" "/>
        <xdr:cNvPicPr/>
      </xdr:nvPicPr>
      <xdr:blipFill>
        <a:blip r:embed="rId84"/>
        <a:srcRect/>
        <a:stretch>
          <a:fillRect/>
        </a:stretch>
      </xdr:blipFill>
      <xdr:spPr>
        <a:xfrm>
          <a:off x="1962150" y="139126592"/>
          <a:ext cx="1581150" cy="207328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86" name="ID_B0F518B68CE646C98696C009A33F13FC" descr=" "/>
        <xdr:cNvPicPr/>
      </xdr:nvPicPr>
      <xdr:blipFill>
        <a:blip r:embed="rId85"/>
        <a:srcRect/>
        <a:stretch>
          <a:fillRect/>
        </a:stretch>
      </xdr:blipFill>
      <xdr:spPr>
        <a:xfrm>
          <a:off x="2548255" y="66358768"/>
          <a:ext cx="266065" cy="77724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87" name="ID_F064BD1824B74B7099DCD00577F01994" descr=" "/>
        <xdr:cNvPicPr/>
      </xdr:nvPicPr>
      <xdr:blipFill>
        <a:blip r:embed="rId86"/>
        <a:srcRect/>
        <a:stretch>
          <a:fillRect/>
        </a:stretch>
      </xdr:blipFill>
      <xdr:spPr>
        <a:xfrm>
          <a:off x="1915160" y="13002260"/>
          <a:ext cx="1099820" cy="62992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88" name="ID_5BADD654A21C4D98AD22241EC9F51356" descr="0J3A1040"/>
        <xdr:cNvPicPr/>
      </xdr:nvPicPr>
      <xdr:blipFill>
        <a:blip r:embed="rId87"/>
        <a:srcRect/>
        <a:stretch>
          <a:fillRect/>
        </a:stretch>
      </xdr:blipFill>
      <xdr:spPr>
        <a:xfrm>
          <a:off x="4363085" y="39842440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89" name="ID_4100D255ADE847C8B2DA98C9A6A0AA1C" descr=" "/>
        <xdr:cNvPicPr/>
      </xdr:nvPicPr>
      <xdr:blipFill>
        <a:blip r:embed="rId88"/>
        <a:srcRect/>
        <a:stretch>
          <a:fillRect/>
        </a:stretch>
      </xdr:blipFill>
      <xdr:spPr>
        <a:xfrm>
          <a:off x="2171700" y="60293884"/>
          <a:ext cx="873125" cy="90995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90" name="ID_731EED30544B45A19F005F84C35B1598" descr="0J3A2513"/>
        <xdr:cNvPicPr/>
      </xdr:nvPicPr>
      <xdr:blipFill>
        <a:blip r:embed="rId89"/>
        <a:srcRect/>
        <a:stretch>
          <a:fillRect/>
        </a:stretch>
      </xdr:blipFill>
      <xdr:spPr>
        <a:xfrm>
          <a:off x="4486910" y="19279236"/>
          <a:ext cx="1189355" cy="79311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91" name="ID_E50A60389AE44742A82BCB779AAC04FF" descr=" "/>
        <xdr:cNvPicPr/>
      </xdr:nvPicPr>
      <xdr:blipFill>
        <a:blip r:embed="rId90"/>
        <a:srcRect/>
        <a:stretch>
          <a:fillRect/>
        </a:stretch>
      </xdr:blipFill>
      <xdr:spPr>
        <a:xfrm>
          <a:off x="2752725" y="90245568"/>
          <a:ext cx="619125" cy="54101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92" name="ID_59A04BBF95BC4B98B003ACBC72D7AA25" descr=" "/>
        <xdr:cNvPicPr/>
      </xdr:nvPicPr>
      <xdr:blipFill>
        <a:blip r:embed="rId91"/>
        <a:srcRect/>
        <a:stretch>
          <a:fillRect/>
        </a:stretch>
      </xdr:blipFill>
      <xdr:spPr>
        <a:xfrm>
          <a:off x="3200400" y="4546600"/>
          <a:ext cx="1039495" cy="56134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93" name="ID_C1C4438C9DC94FA7812456C0EF4BF584" descr=" "/>
        <xdr:cNvPicPr/>
      </xdr:nvPicPr>
      <xdr:blipFill>
        <a:blip r:embed="rId92"/>
        <a:srcRect/>
        <a:stretch>
          <a:fillRect/>
        </a:stretch>
      </xdr:blipFill>
      <xdr:spPr>
        <a:xfrm>
          <a:off x="2381250" y="46313724"/>
          <a:ext cx="610870" cy="67945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94" name="ID_35389B4818C34BD19AB93AB47A66B557" descr=" "/>
        <xdr:cNvPicPr/>
      </xdr:nvPicPr>
      <xdr:blipFill>
        <a:blip r:embed="rId93"/>
        <a:srcRect/>
        <a:stretch>
          <a:fillRect/>
        </a:stretch>
      </xdr:blipFill>
      <xdr:spPr>
        <a:xfrm>
          <a:off x="2149475" y="59258836"/>
          <a:ext cx="904240" cy="108267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95" name="ID_F700FAC37D8C490D99BA7D2BF5E0E594" descr=" "/>
        <xdr:cNvPicPr/>
      </xdr:nvPicPr>
      <xdr:blipFill>
        <a:blip r:embed="rId94"/>
        <a:srcRect/>
        <a:stretch>
          <a:fillRect/>
        </a:stretch>
      </xdr:blipFill>
      <xdr:spPr>
        <a:xfrm>
          <a:off x="3304540" y="9989185"/>
          <a:ext cx="1009650" cy="71501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96" name="ID_A45D2F50B636463CBF01EB310FD706B8" descr=" "/>
        <xdr:cNvPicPr/>
      </xdr:nvPicPr>
      <xdr:blipFill>
        <a:blip r:embed="rId95"/>
        <a:srcRect/>
        <a:stretch>
          <a:fillRect/>
        </a:stretch>
      </xdr:blipFill>
      <xdr:spPr>
        <a:xfrm>
          <a:off x="2200275" y="95203008"/>
          <a:ext cx="801370" cy="76772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97" name="ID_4AD528B11ED24398BA65F619D2DF0BC3" descr=" "/>
        <xdr:cNvPicPr/>
      </xdr:nvPicPr>
      <xdr:blipFill>
        <a:blip r:embed="rId96"/>
        <a:srcRect/>
        <a:stretch>
          <a:fillRect/>
        </a:stretch>
      </xdr:blipFill>
      <xdr:spPr>
        <a:xfrm>
          <a:off x="1581150" y="45256448"/>
          <a:ext cx="1104900" cy="17526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98" name="ID_8FD8E5BA7D16432E96B0EA6AB8BB541D" descr=" "/>
        <xdr:cNvPicPr/>
      </xdr:nvPicPr>
      <xdr:blipFill>
        <a:blip r:embed="rId97"/>
        <a:srcRect/>
        <a:stretch>
          <a:fillRect/>
        </a:stretch>
      </xdr:blipFill>
      <xdr:spPr>
        <a:xfrm>
          <a:off x="2172970" y="9432290"/>
          <a:ext cx="961390" cy="1219200"/>
        </a:xfrm>
        <a:prstGeom prst="rect">
          <a:avLst/>
        </a:prstGeom>
        <a:noFill/>
        <a:ln>
          <a:noFill/>
        </a:ln>
        <a:effectLst>
          <a:outerShdw dist="38100" dir="2699999" algn="tl" rotWithShape="0">
            <a:srgbClr val="000000">
              <a:alpha val="39999"/>
            </a:srgbClr>
          </a:outerShdw>
        </a:effectLst>
      </xdr:spPr>
    </xdr:pic>
  </etc:cellImage>
  <etc:cellImage>
    <xdr:pic>
      <xdr:nvPicPr>
        <xdr:cNvPr id="99" name="ID_9201BBAB664D4F899C19A3173415C416" descr=" "/>
        <xdr:cNvPicPr/>
      </xdr:nvPicPr>
      <xdr:blipFill>
        <a:blip r:embed="rId98"/>
        <a:srcRect/>
        <a:stretch>
          <a:fillRect/>
        </a:stretch>
      </xdr:blipFill>
      <xdr:spPr>
        <a:xfrm>
          <a:off x="5038090" y="58884184"/>
          <a:ext cx="1018540" cy="92392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00" name="ID_5A135F0F5D024026813065833F3962E9" descr=" "/>
        <xdr:cNvPicPr/>
      </xdr:nvPicPr>
      <xdr:blipFill>
        <a:blip r:embed="rId99"/>
        <a:srcRect/>
        <a:stretch>
          <a:fillRect/>
        </a:stretch>
      </xdr:blipFill>
      <xdr:spPr>
        <a:xfrm>
          <a:off x="5095240" y="44636056"/>
          <a:ext cx="1134745" cy="135445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01" name="ID_BECA7F8313C4401AB703CB63ED194F01" descr=" "/>
        <xdr:cNvPicPr/>
      </xdr:nvPicPr>
      <xdr:blipFill>
        <a:blip r:embed="rId100"/>
        <a:srcRect/>
        <a:stretch>
          <a:fillRect/>
        </a:stretch>
      </xdr:blipFill>
      <xdr:spPr>
        <a:xfrm>
          <a:off x="1962150" y="164719632"/>
          <a:ext cx="1676400" cy="112204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02" name="ID_06F75249802A43B99084DE26692BEB1A" descr=" "/>
        <xdr:cNvPicPr/>
      </xdr:nvPicPr>
      <xdr:blipFill>
        <a:blip r:embed="rId101"/>
        <a:srcRect/>
        <a:stretch>
          <a:fillRect/>
        </a:stretch>
      </xdr:blipFill>
      <xdr:spPr>
        <a:xfrm>
          <a:off x="3199765" y="6012815"/>
          <a:ext cx="1181100" cy="58801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03" name="ID_07F4A2AED12F45CC80DC845B0535A119" descr=" "/>
        <xdr:cNvPicPr/>
      </xdr:nvPicPr>
      <xdr:blipFill>
        <a:blip r:embed="rId102"/>
        <a:srcRect/>
        <a:stretch>
          <a:fillRect/>
        </a:stretch>
      </xdr:blipFill>
      <xdr:spPr>
        <a:xfrm>
          <a:off x="2343150" y="155455616"/>
          <a:ext cx="809625" cy="71438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04" name="ID_3BDF2A9D8F5346C382E023C3118FEC0F" descr=" "/>
        <xdr:cNvPicPr/>
      </xdr:nvPicPr>
      <xdr:blipFill>
        <a:blip r:embed="rId103"/>
        <a:srcRect/>
        <a:stretch>
          <a:fillRect/>
        </a:stretch>
      </xdr:blipFill>
      <xdr:spPr>
        <a:xfrm>
          <a:off x="2656840" y="132857240"/>
          <a:ext cx="581025" cy="8585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05" name="ID_C0626C1EBDF04C3093780CE0286E4A6C" descr=" "/>
        <xdr:cNvPicPr/>
      </xdr:nvPicPr>
      <xdr:blipFill>
        <a:blip r:embed="rId104"/>
        <a:srcRect/>
        <a:stretch>
          <a:fillRect/>
        </a:stretch>
      </xdr:blipFill>
      <xdr:spPr>
        <a:xfrm>
          <a:off x="3020060" y="23909020"/>
          <a:ext cx="1656715" cy="6540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06" name="ID_9A5D16E6E7BB4D62B7349CF16631AD71" descr=" "/>
        <xdr:cNvPicPr/>
      </xdr:nvPicPr>
      <xdr:blipFill>
        <a:blip r:embed="rId105"/>
        <a:srcRect/>
        <a:stretch>
          <a:fillRect/>
        </a:stretch>
      </xdr:blipFill>
      <xdr:spPr>
        <a:xfrm>
          <a:off x="1846580" y="76686408"/>
          <a:ext cx="690245" cy="7645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07" name="ID_9B96773523004BE4B250C562919CC340" descr=" "/>
        <xdr:cNvPicPr/>
      </xdr:nvPicPr>
      <xdr:blipFill>
        <a:blip r:embed="rId106"/>
        <a:srcRect/>
        <a:stretch>
          <a:fillRect/>
        </a:stretch>
      </xdr:blipFill>
      <xdr:spPr>
        <a:xfrm>
          <a:off x="2066925" y="122568968"/>
          <a:ext cx="1083310" cy="76200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08" name="ID_9625A2524B1B49339E81256177930791" descr=" "/>
        <xdr:cNvPicPr/>
      </xdr:nvPicPr>
      <xdr:blipFill>
        <a:blip r:embed="rId107"/>
        <a:srcRect/>
        <a:stretch>
          <a:fillRect/>
        </a:stretch>
      </xdr:blipFill>
      <xdr:spPr>
        <a:xfrm>
          <a:off x="4476115" y="108914568"/>
          <a:ext cx="762635" cy="11144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09" name="ID_8E082BA410B8460B87D039915C244DAA" descr=" "/>
        <xdr:cNvPicPr/>
      </xdr:nvPicPr>
      <xdr:blipFill>
        <a:blip r:embed="rId108"/>
        <a:srcRect/>
        <a:stretch>
          <a:fillRect/>
        </a:stretch>
      </xdr:blipFill>
      <xdr:spPr>
        <a:xfrm>
          <a:off x="2190115" y="108480224"/>
          <a:ext cx="666750" cy="6267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10" name="ID_8A4E80A2F4C54AD0BDE311D3CC681AFA" descr=" "/>
        <xdr:cNvPicPr/>
      </xdr:nvPicPr>
      <xdr:blipFill>
        <a:blip r:embed="rId109"/>
        <a:srcRect/>
        <a:stretch>
          <a:fillRect/>
        </a:stretch>
      </xdr:blipFill>
      <xdr:spPr>
        <a:xfrm>
          <a:off x="1657350" y="39855776"/>
          <a:ext cx="809625" cy="7334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11" name="ID_DA90701D0DDE4972A3845253D83A52E6" descr=" "/>
        <xdr:cNvPicPr/>
      </xdr:nvPicPr>
      <xdr:blipFill>
        <a:blip r:embed="rId110"/>
        <a:srcRect/>
        <a:stretch>
          <a:fillRect/>
        </a:stretch>
      </xdr:blipFill>
      <xdr:spPr>
        <a:xfrm>
          <a:off x="2400935" y="47195740"/>
          <a:ext cx="560705" cy="59436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12" name="ID_E8AB8FFC1D254267865B27CD10A4F693" descr=" "/>
        <xdr:cNvPicPr/>
      </xdr:nvPicPr>
      <xdr:blipFill>
        <a:blip r:embed="rId111"/>
        <a:srcRect/>
        <a:stretch>
          <a:fillRect/>
        </a:stretch>
      </xdr:blipFill>
      <xdr:spPr>
        <a:xfrm>
          <a:off x="1788795" y="81652744"/>
          <a:ext cx="894080" cy="7950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13" name="ID_EEC22A5950864DA0A403A93441801BFC" descr=" "/>
        <xdr:cNvPicPr/>
      </xdr:nvPicPr>
      <xdr:blipFill>
        <a:blip r:embed="rId112"/>
        <a:srcRect/>
        <a:stretch>
          <a:fillRect/>
        </a:stretch>
      </xdr:blipFill>
      <xdr:spPr>
        <a:xfrm>
          <a:off x="2115185" y="5413375"/>
          <a:ext cx="941070" cy="83820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14" name="ID_ACAC77F9FB06489381DAB5C2102F6016" descr="0J3A2501"/>
        <xdr:cNvPicPr/>
      </xdr:nvPicPr>
      <xdr:blipFill>
        <a:blip r:embed="rId113"/>
        <a:srcRect/>
        <a:stretch>
          <a:fillRect/>
        </a:stretch>
      </xdr:blipFill>
      <xdr:spPr>
        <a:xfrm>
          <a:off x="4418965" y="1501775"/>
          <a:ext cx="1180465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15" name="ID_9A44526A1811445D81F811B3C9B4A7A8" descr="0J3A2553"/>
        <xdr:cNvPicPr/>
      </xdr:nvPicPr>
      <xdr:blipFill>
        <a:blip r:embed="rId114"/>
        <a:srcRect/>
        <a:stretch>
          <a:fillRect/>
        </a:stretch>
      </xdr:blipFill>
      <xdr:spPr>
        <a:xfrm>
          <a:off x="4525010" y="91941648"/>
          <a:ext cx="1189990" cy="793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16" name="ID_0D80A015752041AE93EFDA8B10EC59B8" descr=" "/>
        <xdr:cNvPicPr/>
      </xdr:nvPicPr>
      <xdr:blipFill>
        <a:blip r:embed="rId115"/>
        <a:srcRect/>
        <a:stretch>
          <a:fillRect/>
        </a:stretch>
      </xdr:blipFill>
      <xdr:spPr>
        <a:xfrm>
          <a:off x="2266950" y="127864872"/>
          <a:ext cx="695325" cy="111569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17" name="ID_954E8868024F44E8A6660C4D1952552E" descr="0J3A2503"/>
        <xdr:cNvPicPr/>
      </xdr:nvPicPr>
      <xdr:blipFill>
        <a:blip r:embed="rId116"/>
        <a:srcRect/>
        <a:stretch>
          <a:fillRect/>
        </a:stretch>
      </xdr:blipFill>
      <xdr:spPr>
        <a:xfrm>
          <a:off x="4515485" y="22220556"/>
          <a:ext cx="1189990" cy="79311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18" name="ID_84562665C48D4F0EA3147A4A6E3E5D1D" descr=" "/>
        <xdr:cNvPicPr/>
      </xdr:nvPicPr>
      <xdr:blipFill>
        <a:blip r:embed="rId117"/>
        <a:srcRect/>
        <a:stretch>
          <a:fillRect/>
        </a:stretch>
      </xdr:blipFill>
      <xdr:spPr>
        <a:xfrm>
          <a:off x="2200275" y="107478192"/>
          <a:ext cx="647065" cy="61277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19" name="ID_DE8D902D38CD43B6BBA8FD2C5AACACFD" descr=" "/>
        <xdr:cNvPicPr/>
      </xdr:nvPicPr>
      <xdr:blipFill>
        <a:blip r:embed="rId118"/>
        <a:srcRect/>
        <a:stretch>
          <a:fillRect/>
        </a:stretch>
      </xdr:blipFill>
      <xdr:spPr>
        <a:xfrm>
          <a:off x="1457325" y="39217600"/>
          <a:ext cx="1695450" cy="11525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20" name="ID_A2BFA46E5FF94E6BA947F034238E9C64" descr=" "/>
        <xdr:cNvPicPr/>
      </xdr:nvPicPr>
      <xdr:blipFill>
        <a:blip r:embed="rId119"/>
        <a:srcRect/>
        <a:stretch>
          <a:fillRect/>
        </a:stretch>
      </xdr:blipFill>
      <xdr:spPr>
        <a:xfrm>
          <a:off x="2200275" y="162276784"/>
          <a:ext cx="844550" cy="98489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21" name="ID_70F93045FE614DFBA0394779EDD7FD4B" descr=" "/>
        <xdr:cNvPicPr/>
      </xdr:nvPicPr>
      <xdr:blipFill>
        <a:blip r:embed="rId120"/>
        <a:srcRect/>
        <a:stretch>
          <a:fillRect/>
        </a:stretch>
      </xdr:blipFill>
      <xdr:spPr>
        <a:xfrm>
          <a:off x="2143125" y="46470568"/>
          <a:ext cx="951865" cy="91376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22" name="ID_78BE684C8F194E4DB6E4A622D334E67F" descr="0J3A2496"/>
        <xdr:cNvPicPr/>
      </xdr:nvPicPr>
      <xdr:blipFill>
        <a:blip r:embed="rId121"/>
        <a:srcRect/>
        <a:stretch>
          <a:fillRect/>
        </a:stretch>
      </xdr:blipFill>
      <xdr:spPr>
        <a:xfrm>
          <a:off x="4390390" y="4073525"/>
          <a:ext cx="1180465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23" name="ID_11860BA11EFA499891792BB1F304B6FE" descr="0J3A3231"/>
        <xdr:cNvPicPr/>
      </xdr:nvPicPr>
      <xdr:blipFill>
        <a:blip r:embed="rId122"/>
        <a:srcRect/>
        <a:stretch>
          <a:fillRect/>
        </a:stretch>
      </xdr:blipFill>
      <xdr:spPr>
        <a:xfrm>
          <a:off x="4552315" y="87810976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24" name="ID_367600F9080046EEA79A0F06F10DC60A" descr=" "/>
        <xdr:cNvPicPr/>
      </xdr:nvPicPr>
      <xdr:blipFill>
        <a:blip r:embed="rId123"/>
        <a:srcRect/>
        <a:stretch>
          <a:fillRect/>
        </a:stretch>
      </xdr:blipFill>
      <xdr:spPr>
        <a:xfrm>
          <a:off x="2286000" y="2482215"/>
          <a:ext cx="1143000" cy="7620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25" name="ID_F0C9922ADCC84DE883E5B03819DA54AF" descr=" "/>
        <xdr:cNvPicPr/>
      </xdr:nvPicPr>
      <xdr:blipFill>
        <a:blip r:embed="rId124"/>
        <a:srcRect/>
        <a:stretch>
          <a:fillRect/>
        </a:stretch>
      </xdr:blipFill>
      <xdr:spPr>
        <a:xfrm>
          <a:off x="3391535" y="30774004"/>
          <a:ext cx="742950" cy="70548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26" name="ID_D1A92E6337B544C88448B3C4400159CD" descr=" "/>
        <xdr:cNvPicPr/>
      </xdr:nvPicPr>
      <xdr:blipFill>
        <a:blip r:embed="rId125"/>
        <a:srcRect/>
        <a:stretch>
          <a:fillRect/>
        </a:stretch>
      </xdr:blipFill>
      <xdr:spPr>
        <a:xfrm>
          <a:off x="2000250" y="149546944"/>
          <a:ext cx="1228725" cy="136270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27" name="ID_1CB63B93F40E420FA2EF3E25CB997480" descr=" "/>
        <xdr:cNvPicPr/>
      </xdr:nvPicPr>
      <xdr:blipFill>
        <a:blip r:embed="rId126"/>
        <a:srcRect/>
        <a:stretch>
          <a:fillRect/>
        </a:stretch>
      </xdr:blipFill>
      <xdr:spPr>
        <a:xfrm>
          <a:off x="1533525" y="45780324"/>
          <a:ext cx="1209675" cy="15240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28" name="ID_F10CD610BE7049F384E2F4B215B97A4C" descr=" "/>
        <xdr:cNvPicPr/>
      </xdr:nvPicPr>
      <xdr:blipFill>
        <a:blip r:embed="rId127"/>
        <a:srcRect/>
        <a:stretch>
          <a:fillRect/>
        </a:stretch>
      </xdr:blipFill>
      <xdr:spPr>
        <a:xfrm>
          <a:off x="1570990" y="116393592"/>
          <a:ext cx="1739900" cy="123698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29" name="ID_9D72374A732A4FBBAF71C54650B42495" descr=" "/>
        <xdr:cNvPicPr/>
      </xdr:nvPicPr>
      <xdr:blipFill>
        <a:blip r:embed="rId128"/>
        <a:srcRect/>
        <a:stretch>
          <a:fillRect/>
        </a:stretch>
      </xdr:blipFill>
      <xdr:spPr>
        <a:xfrm>
          <a:off x="2200275" y="72581136"/>
          <a:ext cx="746125" cy="57721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30" name="ID_5CF20641AC574EE8804EFDA79B6081C5" descr=" "/>
        <xdr:cNvPicPr/>
      </xdr:nvPicPr>
      <xdr:blipFill>
        <a:blip r:embed="rId25"/>
        <a:srcRect/>
        <a:stretch>
          <a:fillRect/>
        </a:stretch>
      </xdr:blipFill>
      <xdr:spPr>
        <a:xfrm>
          <a:off x="1495425" y="8317230"/>
          <a:ext cx="1885950" cy="122872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31" name="ID_4243AE0E771A4364A6EC4A439A94AE7C" descr=" "/>
        <xdr:cNvPicPr/>
      </xdr:nvPicPr>
      <xdr:blipFill>
        <a:blip r:embed="rId129"/>
        <a:srcRect/>
        <a:stretch>
          <a:fillRect/>
        </a:stretch>
      </xdr:blipFill>
      <xdr:spPr>
        <a:xfrm>
          <a:off x="4638675" y="6977380"/>
          <a:ext cx="610235" cy="70739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32" name="ID_109FA1A5024A417CB6A212737A5610FC" descr=" "/>
        <xdr:cNvPicPr/>
      </xdr:nvPicPr>
      <xdr:blipFill>
        <a:blip r:embed="rId130"/>
        <a:srcRect/>
        <a:stretch>
          <a:fillRect/>
        </a:stretch>
      </xdr:blipFill>
      <xdr:spPr>
        <a:xfrm>
          <a:off x="2494915" y="109411768"/>
          <a:ext cx="619125" cy="43624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33" name="ID_18398F9DFADE4350A27FC7EFA92FBA95" descr=" "/>
        <xdr:cNvPicPr/>
      </xdr:nvPicPr>
      <xdr:blipFill>
        <a:blip r:embed="rId131"/>
        <a:srcRect/>
        <a:stretch>
          <a:fillRect/>
        </a:stretch>
      </xdr:blipFill>
      <xdr:spPr>
        <a:xfrm>
          <a:off x="1680210" y="50246280"/>
          <a:ext cx="1678940" cy="79438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34" name="ID_FA1EEB6BBEAA4B598FC39915C2011E5D" descr=" "/>
        <xdr:cNvPicPr/>
      </xdr:nvPicPr>
      <xdr:blipFill>
        <a:blip r:embed="rId132"/>
        <a:srcRect/>
        <a:stretch>
          <a:fillRect/>
        </a:stretch>
      </xdr:blipFill>
      <xdr:spPr>
        <a:xfrm>
          <a:off x="2295525" y="12785725"/>
          <a:ext cx="624840" cy="564515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35" name="ID_274D76F5A513450CAD53E13DFEAE575F" descr=" "/>
        <xdr:cNvPicPr/>
      </xdr:nvPicPr>
      <xdr:blipFill>
        <a:blip r:embed="rId133"/>
        <a:srcRect/>
        <a:stretch>
          <a:fillRect/>
        </a:stretch>
      </xdr:blipFill>
      <xdr:spPr>
        <a:xfrm>
          <a:off x="1988820" y="157377760"/>
          <a:ext cx="1632585" cy="9810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36" name="ID_81191E3F35C24911A6BB1AB3C87573E7" descr=" "/>
        <xdr:cNvPicPr/>
      </xdr:nvPicPr>
      <xdr:blipFill>
        <a:blip r:embed="rId134"/>
        <a:srcRect/>
        <a:stretch>
          <a:fillRect/>
        </a:stretch>
      </xdr:blipFill>
      <xdr:spPr>
        <a:xfrm>
          <a:off x="4362450" y="96191072"/>
          <a:ext cx="1257300" cy="8477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37" name="ID_267456B9E49347F5ABC9D893D492C2D9" descr="0J3A2558"/>
        <xdr:cNvPicPr/>
      </xdr:nvPicPr>
      <xdr:blipFill>
        <a:blip r:embed="rId135"/>
        <a:srcRect/>
        <a:stretch>
          <a:fillRect/>
        </a:stretch>
      </xdr:blipFill>
      <xdr:spPr>
        <a:xfrm>
          <a:off x="4409440" y="13792835"/>
          <a:ext cx="1189990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38" name="ID_DF164668C1754E2490ECCE06121841C5" descr=" "/>
        <xdr:cNvPicPr/>
      </xdr:nvPicPr>
      <xdr:blipFill>
        <a:blip r:embed="rId136"/>
        <a:srcRect/>
        <a:stretch>
          <a:fillRect/>
        </a:stretch>
      </xdr:blipFill>
      <xdr:spPr>
        <a:xfrm>
          <a:off x="1590675" y="4333875"/>
          <a:ext cx="914400" cy="1714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39" name="ID_61EE78ACEDC34E4CBDC1536D1A944A73" descr=" "/>
        <xdr:cNvPicPr/>
      </xdr:nvPicPr>
      <xdr:blipFill>
        <a:blip r:embed="rId137"/>
        <a:srcRect/>
        <a:stretch>
          <a:fillRect/>
        </a:stretch>
      </xdr:blipFill>
      <xdr:spPr>
        <a:xfrm>
          <a:off x="4924425" y="32820610"/>
          <a:ext cx="1305560" cy="94170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40" name="ID_F40D3DE2D416480B94C0E403A078FE48" descr=" "/>
        <xdr:cNvPicPr/>
      </xdr:nvPicPr>
      <xdr:blipFill>
        <a:blip r:embed="rId138"/>
        <a:srcRect/>
        <a:stretch>
          <a:fillRect/>
        </a:stretch>
      </xdr:blipFill>
      <xdr:spPr>
        <a:xfrm>
          <a:off x="1771015" y="52501164"/>
          <a:ext cx="1307465" cy="79438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41" name="ID_9BF73A9CF024447A93EB47D029AD6632" descr=" "/>
        <xdr:cNvPicPr/>
      </xdr:nvPicPr>
      <xdr:blipFill>
        <a:blip r:embed="rId139"/>
        <a:srcRect/>
        <a:stretch>
          <a:fillRect/>
        </a:stretch>
      </xdr:blipFill>
      <xdr:spPr>
        <a:xfrm>
          <a:off x="3400425" y="17476470"/>
          <a:ext cx="694690" cy="698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42" name="ID_A8A86B6599324CFE8447C8F66543DD2D" descr=" "/>
        <xdr:cNvPicPr/>
      </xdr:nvPicPr>
      <xdr:blipFill>
        <a:blip r:embed="rId140"/>
        <a:srcRect/>
        <a:stretch>
          <a:fillRect/>
        </a:stretch>
      </xdr:blipFill>
      <xdr:spPr>
        <a:xfrm>
          <a:off x="2289810" y="75846304"/>
          <a:ext cx="1019810" cy="6546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43" name="ID_76A4A69FC30246D8A47CAD9A54301AAD" descr=" "/>
        <xdr:cNvPicPr/>
      </xdr:nvPicPr>
      <xdr:blipFill>
        <a:blip r:embed="rId141"/>
        <a:srcRect/>
        <a:stretch>
          <a:fillRect/>
        </a:stretch>
      </xdr:blipFill>
      <xdr:spPr>
        <a:xfrm>
          <a:off x="1990725" y="65754884"/>
          <a:ext cx="1017905" cy="76009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44" name="ID_EE2A97C969854DDCBD9842BD308AA9DD" descr=" "/>
        <xdr:cNvPicPr/>
      </xdr:nvPicPr>
      <xdr:blipFill>
        <a:blip r:embed="rId142"/>
        <a:srcRect/>
        <a:stretch>
          <a:fillRect/>
        </a:stretch>
      </xdr:blipFill>
      <xdr:spPr>
        <a:xfrm>
          <a:off x="4972050" y="46291500"/>
          <a:ext cx="1257935" cy="61849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45" name="ID_7B5B3A17B6F44BF5834D078DDDDF43F2" descr=" "/>
        <xdr:cNvPicPr/>
      </xdr:nvPicPr>
      <xdr:blipFill>
        <a:blip r:embed="rId143"/>
        <a:srcRect/>
        <a:stretch>
          <a:fillRect/>
        </a:stretch>
      </xdr:blipFill>
      <xdr:spPr>
        <a:xfrm>
          <a:off x="2418715" y="107539152"/>
          <a:ext cx="864235" cy="56007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46" name="ID_E36A339B44584154987D520A93B7362A" descr=" "/>
        <xdr:cNvPicPr/>
      </xdr:nvPicPr>
      <xdr:blipFill>
        <a:blip r:embed="rId144"/>
        <a:srcRect/>
        <a:stretch>
          <a:fillRect/>
        </a:stretch>
      </xdr:blipFill>
      <xdr:spPr>
        <a:xfrm>
          <a:off x="2114550" y="137975968"/>
          <a:ext cx="965200" cy="68390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47" name="ID_68C35498C8E8438ABDF93C6AEDF22887" descr=" "/>
        <xdr:cNvPicPr/>
      </xdr:nvPicPr>
      <xdr:blipFill>
        <a:blip r:embed="rId145"/>
        <a:srcRect/>
        <a:stretch>
          <a:fillRect/>
        </a:stretch>
      </xdr:blipFill>
      <xdr:spPr>
        <a:xfrm>
          <a:off x="2466975" y="168546784"/>
          <a:ext cx="946150" cy="100710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48" name="ID_9A64EC014FEB4D84B15AAB45559D1FB9" descr=" "/>
        <xdr:cNvPicPr/>
      </xdr:nvPicPr>
      <xdr:blipFill>
        <a:blip r:embed="rId146"/>
        <a:srcRect/>
        <a:stretch>
          <a:fillRect/>
        </a:stretch>
      </xdr:blipFill>
      <xdr:spPr>
        <a:xfrm>
          <a:off x="3047365" y="28025090"/>
          <a:ext cx="1504950" cy="81851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49" name="ID_332205656E9E49A0A18EDB8E4A496F17" descr=" "/>
        <xdr:cNvPicPr/>
      </xdr:nvPicPr>
      <xdr:blipFill>
        <a:blip r:embed="rId147"/>
        <a:srcRect/>
        <a:stretch>
          <a:fillRect/>
        </a:stretch>
      </xdr:blipFill>
      <xdr:spPr>
        <a:xfrm>
          <a:off x="3039110" y="12465050"/>
          <a:ext cx="1543685" cy="87185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50" name="ID_BE09E604BBEC4E2CB7F974CD46A5CE78" descr=" "/>
        <xdr:cNvPicPr/>
      </xdr:nvPicPr>
      <xdr:blipFill>
        <a:blip r:embed="rId148"/>
        <a:srcRect/>
        <a:stretch>
          <a:fillRect/>
        </a:stretch>
      </xdr:blipFill>
      <xdr:spPr>
        <a:xfrm>
          <a:off x="2163445" y="20815936"/>
          <a:ext cx="933450" cy="80518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51" name="ID_F3A2150DBBDD42DABF66B3A638B910BE" descr=" "/>
        <xdr:cNvPicPr/>
      </xdr:nvPicPr>
      <xdr:blipFill>
        <a:blip r:embed="rId149"/>
        <a:srcRect/>
        <a:stretch>
          <a:fillRect/>
        </a:stretch>
      </xdr:blipFill>
      <xdr:spPr>
        <a:xfrm>
          <a:off x="3009900" y="10835005"/>
          <a:ext cx="1610360" cy="65659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52" name="ID_85B7DCEC04B84249888BAAC70EBDC802" descr=" "/>
        <xdr:cNvPicPr/>
      </xdr:nvPicPr>
      <xdr:blipFill>
        <a:blip r:embed="rId150"/>
        <a:srcRect/>
        <a:stretch>
          <a:fillRect/>
        </a:stretch>
      </xdr:blipFill>
      <xdr:spPr>
        <a:xfrm>
          <a:off x="1654810" y="35038664"/>
          <a:ext cx="913130" cy="68135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53" name="ID_9F38164B8CBC4DD298B4143FCBEA70D8" descr=" "/>
        <xdr:cNvPicPr/>
      </xdr:nvPicPr>
      <xdr:blipFill>
        <a:blip r:embed="rId151"/>
        <a:srcRect/>
        <a:stretch>
          <a:fillRect/>
        </a:stretch>
      </xdr:blipFill>
      <xdr:spPr>
        <a:xfrm>
          <a:off x="2151380" y="143007712"/>
          <a:ext cx="1353820" cy="91884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54" name="ID_C7D269391295451C99BD058656EAABD8" descr=" "/>
        <xdr:cNvPicPr/>
      </xdr:nvPicPr>
      <xdr:blipFill>
        <a:blip r:embed="rId152"/>
        <a:srcRect/>
        <a:stretch>
          <a:fillRect/>
        </a:stretch>
      </xdr:blipFill>
      <xdr:spPr>
        <a:xfrm>
          <a:off x="1571625" y="5313045"/>
          <a:ext cx="800100" cy="170497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55" name="ID_420E83517E06445FBEE83A0EDD108EA4" descr="0J3A1053"/>
        <xdr:cNvPicPr/>
      </xdr:nvPicPr>
      <xdr:blipFill>
        <a:blip r:embed="rId153"/>
        <a:srcRect/>
        <a:stretch>
          <a:fillRect/>
        </a:stretch>
      </xdr:blipFill>
      <xdr:spPr>
        <a:xfrm>
          <a:off x="4429125" y="35743516"/>
          <a:ext cx="1189355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56" name="ID_D7A47D7D3B6645D4B8322F4F10F61B98" descr=" "/>
        <xdr:cNvPicPr/>
      </xdr:nvPicPr>
      <xdr:blipFill>
        <a:blip r:embed="rId154"/>
        <a:srcRect/>
        <a:stretch>
          <a:fillRect/>
        </a:stretch>
      </xdr:blipFill>
      <xdr:spPr>
        <a:xfrm>
          <a:off x="2459355" y="37151312"/>
          <a:ext cx="612775" cy="52895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57" name="ID_98E8E4B830F445C6B2FCD9C8CDCEFE22" descr=" "/>
        <xdr:cNvPicPr/>
      </xdr:nvPicPr>
      <xdr:blipFill>
        <a:blip r:embed="rId155"/>
        <a:srcRect/>
        <a:stretch>
          <a:fillRect/>
        </a:stretch>
      </xdr:blipFill>
      <xdr:spPr>
        <a:xfrm>
          <a:off x="2140585" y="38157784"/>
          <a:ext cx="1305560" cy="122745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58" name="ID_5C6D726A138241AF804BD7C4309B5D04" descr=" "/>
        <xdr:cNvPicPr/>
      </xdr:nvPicPr>
      <xdr:blipFill>
        <a:blip r:embed="rId156"/>
        <a:srcRect/>
        <a:stretch>
          <a:fillRect/>
        </a:stretch>
      </xdr:blipFill>
      <xdr:spPr>
        <a:xfrm>
          <a:off x="2189480" y="70819008"/>
          <a:ext cx="1186815" cy="86106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59" name="ID_1DF53C71F6D64771BB71BFED5985BA22" descr=" "/>
        <xdr:cNvPicPr/>
      </xdr:nvPicPr>
      <xdr:blipFill>
        <a:blip r:embed="rId157"/>
        <a:srcRect/>
        <a:stretch>
          <a:fillRect/>
        </a:stretch>
      </xdr:blipFill>
      <xdr:spPr>
        <a:xfrm>
          <a:off x="1960880" y="13854430"/>
          <a:ext cx="859790" cy="77597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60" name="ID_A72E97ED36514E73814423FB0A9D0ECA" descr=" "/>
        <xdr:cNvPicPr/>
      </xdr:nvPicPr>
      <xdr:blipFill>
        <a:blip r:embed="rId158"/>
        <a:srcRect/>
        <a:stretch>
          <a:fillRect/>
        </a:stretch>
      </xdr:blipFill>
      <xdr:spPr>
        <a:xfrm>
          <a:off x="4876800" y="41471848"/>
          <a:ext cx="1381125" cy="221932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61" name="ID_2B886A1D2D314AA8924560C323A74ADB" descr=" "/>
        <xdr:cNvPicPr/>
      </xdr:nvPicPr>
      <xdr:blipFill>
        <a:blip r:embed="rId159"/>
        <a:srcRect/>
        <a:stretch>
          <a:fillRect/>
        </a:stretch>
      </xdr:blipFill>
      <xdr:spPr>
        <a:xfrm>
          <a:off x="3133090" y="25502236"/>
          <a:ext cx="1285240" cy="579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62" name="ID_3AFF8A5462BF494B9BE1C0F95641371B" descr=" "/>
        <xdr:cNvPicPr/>
      </xdr:nvPicPr>
      <xdr:blipFill>
        <a:blip r:embed="rId160"/>
        <a:srcRect/>
        <a:stretch>
          <a:fillRect/>
        </a:stretch>
      </xdr:blipFill>
      <xdr:spPr>
        <a:xfrm>
          <a:off x="2190750" y="64499488"/>
          <a:ext cx="837565" cy="98298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63" name="ID_A8082C2729A74D5FB3830410A05CCF9B" descr="0J3A2561"/>
        <xdr:cNvPicPr/>
      </xdr:nvPicPr>
      <xdr:blipFill>
        <a:blip r:embed="rId161"/>
        <a:srcRect/>
        <a:stretch>
          <a:fillRect/>
        </a:stretch>
      </xdr:blipFill>
      <xdr:spPr>
        <a:xfrm>
          <a:off x="4418965" y="8295640"/>
          <a:ext cx="1189990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64" name="ID_98B389C04A644A3A98DF6A888238D144" descr=" "/>
        <xdr:cNvPicPr/>
      </xdr:nvPicPr>
      <xdr:blipFill>
        <a:blip r:embed="rId162"/>
        <a:srcRect/>
        <a:stretch>
          <a:fillRect/>
        </a:stretch>
      </xdr:blipFill>
      <xdr:spPr>
        <a:xfrm>
          <a:off x="2190750" y="130840480"/>
          <a:ext cx="1122045" cy="84772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65" name="ID_A56DF7E6A8634D2DB0797F0B7749F5D7" descr="/Users/macbook/Library/Containers/com.kingsoft.wpsoffice.mac/Data/tmp/photoeditapp/20240325095558/temp.pngtemp"/>
        <xdr:cNvPicPr/>
      </xdr:nvPicPr>
      <xdr:blipFill>
        <a:blip r:embed="rId163"/>
        <a:srcRect/>
        <a:stretch>
          <a:fillRect/>
        </a:stretch>
      </xdr:blipFill>
      <xdr:spPr>
        <a:xfrm>
          <a:off x="3310890" y="1068070"/>
          <a:ext cx="854075" cy="1041400"/>
        </a:xfrm>
        <a:prstGeom prst="rect">
          <a:avLst/>
        </a:prstGeom>
        <a:noFill/>
        <a:ln>
          <a:noFill/>
        </a:ln>
        <a:effectLst>
          <a:outerShdw dist="38100" dir="2699999" algn="tl" rotWithShape="0">
            <a:srgbClr val="000000">
              <a:alpha val="39999"/>
            </a:srgbClr>
          </a:outerShdw>
        </a:effectLst>
      </xdr:spPr>
    </xdr:pic>
  </etc:cellImage>
  <etc:cellImage>
    <xdr:pic>
      <xdr:nvPicPr>
        <xdr:cNvPr id="166" name="ID_17C5636E22F7439BB5AAB10C8F8A822F" descr=" "/>
        <xdr:cNvPicPr/>
      </xdr:nvPicPr>
      <xdr:blipFill>
        <a:blip r:embed="rId164"/>
        <a:srcRect/>
        <a:stretch>
          <a:fillRect/>
        </a:stretch>
      </xdr:blipFill>
      <xdr:spPr>
        <a:xfrm>
          <a:off x="1658620" y="179165888"/>
          <a:ext cx="1582420" cy="83883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67" name="ID_291C1808CC344EA49EF25EE68DB59E3B" descr=" "/>
        <xdr:cNvPicPr/>
      </xdr:nvPicPr>
      <xdr:blipFill>
        <a:blip r:embed="rId165"/>
        <a:srcRect/>
        <a:stretch>
          <a:fillRect/>
        </a:stretch>
      </xdr:blipFill>
      <xdr:spPr>
        <a:xfrm>
          <a:off x="1924050" y="171403008"/>
          <a:ext cx="1022985" cy="73660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68" name="ID_76A69BBE47A842D0BB50B731D92EAC2B" descr=" "/>
        <xdr:cNvPicPr/>
      </xdr:nvPicPr>
      <xdr:blipFill>
        <a:blip r:embed="rId166"/>
        <a:srcRect/>
        <a:stretch>
          <a:fillRect/>
        </a:stretch>
      </xdr:blipFill>
      <xdr:spPr>
        <a:xfrm>
          <a:off x="1800225" y="22751416"/>
          <a:ext cx="1838325" cy="9239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69" name="ID_02F251B681A64198AE3022154FBE07E7" descr=" "/>
        <xdr:cNvPicPr/>
      </xdr:nvPicPr>
      <xdr:blipFill>
        <a:blip r:embed="rId167"/>
        <a:srcRect/>
        <a:stretch>
          <a:fillRect/>
        </a:stretch>
      </xdr:blipFill>
      <xdr:spPr>
        <a:xfrm>
          <a:off x="2346960" y="52222400"/>
          <a:ext cx="468630" cy="71500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70" name="ID_636C81272525427E88A55AD25C0470EC" descr="0J3A1848"/>
        <xdr:cNvPicPr/>
      </xdr:nvPicPr>
      <xdr:blipFill>
        <a:blip r:embed="rId168"/>
        <a:srcRect/>
        <a:stretch>
          <a:fillRect/>
        </a:stretch>
      </xdr:blipFill>
      <xdr:spPr>
        <a:xfrm>
          <a:off x="4544695" y="17907636"/>
          <a:ext cx="972185" cy="64833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71" name="ID_19237E0E16FA49D3AF02DA8E49F8270D" descr=" "/>
        <xdr:cNvPicPr/>
      </xdr:nvPicPr>
      <xdr:blipFill>
        <a:blip r:embed="rId169"/>
        <a:srcRect/>
        <a:stretch>
          <a:fillRect/>
        </a:stretch>
      </xdr:blipFill>
      <xdr:spPr>
        <a:xfrm>
          <a:off x="1666240" y="16579215"/>
          <a:ext cx="1552575" cy="1590041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72" name="ID_943CCDC7B4974DD58F83D0DDCC08E6C1" descr=" "/>
        <xdr:cNvPicPr/>
      </xdr:nvPicPr>
      <xdr:blipFill>
        <a:blip r:embed="rId170"/>
        <a:srcRect/>
        <a:stretch>
          <a:fillRect/>
        </a:stretch>
      </xdr:blipFill>
      <xdr:spPr>
        <a:xfrm>
          <a:off x="5066665" y="57866280"/>
          <a:ext cx="1009015" cy="79120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73" name="ID_306D531D187C4C58913C8B9CBB00B35D" descr="0J3A2559"/>
        <xdr:cNvPicPr/>
      </xdr:nvPicPr>
      <xdr:blipFill>
        <a:blip r:embed="rId171"/>
        <a:srcRect/>
        <a:stretch>
          <a:fillRect/>
        </a:stretch>
      </xdr:blipFill>
      <xdr:spPr>
        <a:xfrm>
          <a:off x="4363085" y="42585640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74" name="ID_C4FBEFDCD90546DD935C3C6AEE2086A1" descr=" "/>
        <xdr:cNvPicPr/>
      </xdr:nvPicPr>
      <xdr:blipFill>
        <a:blip r:embed="rId172"/>
        <a:srcRect/>
        <a:stretch>
          <a:fillRect/>
        </a:stretch>
      </xdr:blipFill>
      <xdr:spPr>
        <a:xfrm>
          <a:off x="2276475" y="88961592"/>
          <a:ext cx="808990" cy="6172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75" name="ID_217287F4335F47AABC22738BD0F498B6" descr=" "/>
        <xdr:cNvPicPr/>
      </xdr:nvPicPr>
      <xdr:blipFill>
        <a:blip r:embed="rId173"/>
        <a:srcRect/>
        <a:stretch>
          <a:fillRect/>
        </a:stretch>
      </xdr:blipFill>
      <xdr:spPr>
        <a:xfrm>
          <a:off x="1704975" y="11597005"/>
          <a:ext cx="1165225" cy="683895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76" name="ID_9681349CFAA5441A8569B8FB0D4EF022" descr=" "/>
        <xdr:cNvPicPr/>
      </xdr:nvPicPr>
      <xdr:blipFill>
        <a:blip r:embed="rId174"/>
        <a:srcRect/>
        <a:stretch>
          <a:fillRect/>
        </a:stretch>
      </xdr:blipFill>
      <xdr:spPr>
        <a:xfrm>
          <a:off x="1972945" y="84856320"/>
          <a:ext cx="1085215" cy="78993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77" name="ID_B0CAFA1191434F1DAF36121D108DDA2D" descr=" "/>
        <xdr:cNvPicPr/>
      </xdr:nvPicPr>
      <xdr:blipFill>
        <a:blip r:embed="rId175"/>
        <a:srcRect/>
        <a:stretch>
          <a:fillRect/>
        </a:stretch>
      </xdr:blipFill>
      <xdr:spPr>
        <a:xfrm>
          <a:off x="1581150" y="8352790"/>
          <a:ext cx="1647190" cy="67437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78" name="ID_0158CDC5A2644225877E10966BE2A757" descr=" "/>
        <xdr:cNvPicPr/>
      </xdr:nvPicPr>
      <xdr:blipFill>
        <a:blip r:embed="rId176"/>
        <a:srcRect/>
        <a:stretch>
          <a:fillRect/>
        </a:stretch>
      </xdr:blipFill>
      <xdr:spPr>
        <a:xfrm>
          <a:off x="1692275" y="45225336"/>
          <a:ext cx="1481455" cy="174561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79" name="ID_44807DB45B674CEF85ADE04646F68E12" descr=" "/>
        <xdr:cNvPicPr/>
      </xdr:nvPicPr>
      <xdr:blipFill>
        <a:blip r:embed="rId177"/>
        <a:srcRect/>
        <a:stretch>
          <a:fillRect/>
        </a:stretch>
      </xdr:blipFill>
      <xdr:spPr>
        <a:xfrm>
          <a:off x="2105660" y="136464032"/>
          <a:ext cx="652780" cy="58166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80" name="ID_DE2BEBBC8B184D75BF966F9D9CD9E057" descr=" "/>
        <xdr:cNvPicPr/>
      </xdr:nvPicPr>
      <xdr:blipFill>
        <a:blip r:embed="rId178"/>
        <a:srcRect/>
        <a:stretch>
          <a:fillRect/>
        </a:stretch>
      </xdr:blipFill>
      <xdr:spPr>
        <a:xfrm>
          <a:off x="5267960" y="55502808"/>
          <a:ext cx="438785" cy="61150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81" name="ID_B0E303905A084AEB84677308815649FB" descr=" "/>
        <xdr:cNvPicPr/>
      </xdr:nvPicPr>
      <xdr:blipFill>
        <a:blip r:embed="rId179"/>
        <a:srcRect/>
        <a:stretch>
          <a:fillRect/>
        </a:stretch>
      </xdr:blipFill>
      <xdr:spPr>
        <a:xfrm>
          <a:off x="1682115" y="117180992"/>
          <a:ext cx="1513840" cy="148145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82" name="ID_6A6041A54E79466C82B28245EA336724" descr=" "/>
        <xdr:cNvPicPr/>
      </xdr:nvPicPr>
      <xdr:blipFill>
        <a:blip r:embed="rId180"/>
        <a:srcRect/>
        <a:stretch>
          <a:fillRect/>
        </a:stretch>
      </xdr:blipFill>
      <xdr:spPr>
        <a:xfrm>
          <a:off x="1572260" y="68056760"/>
          <a:ext cx="1646555" cy="69659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83" name="ID_D123F0A4257547EE806190BD4D64444D" descr=" "/>
        <xdr:cNvPicPr/>
      </xdr:nvPicPr>
      <xdr:blipFill>
        <a:blip r:embed="rId181"/>
        <a:srcRect/>
        <a:stretch>
          <a:fillRect/>
        </a:stretch>
      </xdr:blipFill>
      <xdr:spPr>
        <a:xfrm>
          <a:off x="2341880" y="64602360"/>
          <a:ext cx="525780" cy="15494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84" name="ID_02B4EB1D23B54D7E86A6D4C2EEF4B064" descr="0J3A2476"/>
        <xdr:cNvPicPr/>
      </xdr:nvPicPr>
      <xdr:blipFill>
        <a:blip r:embed="rId182"/>
        <a:srcRect/>
        <a:stretch>
          <a:fillRect/>
        </a:stretch>
      </xdr:blipFill>
      <xdr:spPr>
        <a:xfrm>
          <a:off x="4534535" y="78214856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85" name="ID_418A82F10F7743C88E2AF4A2E143EF99" descr=" "/>
        <xdr:cNvPicPr/>
      </xdr:nvPicPr>
      <xdr:blipFill>
        <a:blip r:embed="rId183"/>
        <a:srcRect/>
        <a:stretch>
          <a:fillRect/>
        </a:stretch>
      </xdr:blipFill>
      <xdr:spPr>
        <a:xfrm>
          <a:off x="2038985" y="1498600"/>
          <a:ext cx="1452245" cy="11252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86" name="ID_D520E55C861B447190D1E6603F3E192C" descr=" "/>
        <xdr:cNvPicPr/>
      </xdr:nvPicPr>
      <xdr:blipFill>
        <a:blip r:embed="rId184"/>
        <a:srcRect/>
        <a:stretch>
          <a:fillRect/>
        </a:stretch>
      </xdr:blipFill>
      <xdr:spPr>
        <a:xfrm>
          <a:off x="9086850" y="414653088"/>
          <a:ext cx="936625" cy="5746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87" name="ID_AEBB5FF99F4F47F3B165DDC8A50C80E7" descr=" "/>
        <xdr:cNvPicPr/>
      </xdr:nvPicPr>
      <xdr:blipFill>
        <a:blip r:embed="rId185"/>
        <a:srcRect/>
        <a:stretch>
          <a:fillRect/>
        </a:stretch>
      </xdr:blipFill>
      <xdr:spPr>
        <a:xfrm>
          <a:off x="1609725" y="180802912"/>
          <a:ext cx="1619885" cy="52387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88" name="ID_5A85BB7D2D694667A54EA2ED6F335BCA" descr="0J3A1037"/>
        <xdr:cNvPicPr/>
      </xdr:nvPicPr>
      <xdr:blipFill>
        <a:blip r:embed="rId9"/>
        <a:srcRect/>
        <a:stretch>
          <a:fillRect/>
        </a:stretch>
      </xdr:blipFill>
      <xdr:spPr>
        <a:xfrm>
          <a:off x="4344035" y="48039656"/>
          <a:ext cx="1189355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89" name="ID_35B7E998793B4CFA95958F390C20FEA5" descr="0J3A2565"/>
        <xdr:cNvPicPr/>
      </xdr:nvPicPr>
      <xdr:blipFill>
        <a:blip r:embed="rId186"/>
        <a:srcRect/>
        <a:stretch>
          <a:fillRect/>
        </a:stretch>
      </xdr:blipFill>
      <xdr:spPr>
        <a:xfrm>
          <a:off x="4438650" y="9629775"/>
          <a:ext cx="1189990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90" name="ID_20541ACA42634C44BDF7A9DD6637FA1B" descr=" "/>
        <xdr:cNvPicPr/>
      </xdr:nvPicPr>
      <xdr:blipFill>
        <a:blip r:embed="rId187"/>
        <a:srcRect/>
        <a:stretch>
          <a:fillRect/>
        </a:stretch>
      </xdr:blipFill>
      <xdr:spPr>
        <a:xfrm>
          <a:off x="1971675" y="103319584"/>
          <a:ext cx="776605" cy="75056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91" name="ID_37CF743940934A00B634CD0A61D349FE" descr=" "/>
        <xdr:cNvPicPr/>
      </xdr:nvPicPr>
      <xdr:blipFill>
        <a:blip r:embed="rId188"/>
        <a:srcRect/>
        <a:stretch>
          <a:fillRect/>
        </a:stretch>
      </xdr:blipFill>
      <xdr:spPr>
        <a:xfrm>
          <a:off x="2314575" y="140051152"/>
          <a:ext cx="904875" cy="123697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92" name="ID_0DE7B7D1F0AF4E85B1809CC36C713B53" descr="0J3A0948"/>
        <xdr:cNvPicPr/>
      </xdr:nvPicPr>
      <xdr:blipFill>
        <a:blip r:embed="rId189"/>
        <a:srcRect/>
        <a:stretch>
          <a:fillRect/>
        </a:stretch>
      </xdr:blipFill>
      <xdr:spPr>
        <a:xfrm>
          <a:off x="4544695" y="104446704"/>
          <a:ext cx="1018540" cy="67500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93" name="ID_2408A4EC878E459BB5B9E729F33B60F0" descr=" "/>
        <xdr:cNvPicPr/>
      </xdr:nvPicPr>
      <xdr:blipFill>
        <a:blip r:embed="rId190"/>
        <a:srcRect/>
        <a:stretch>
          <a:fillRect/>
        </a:stretch>
      </xdr:blipFill>
      <xdr:spPr>
        <a:xfrm>
          <a:off x="2200275" y="139607296"/>
          <a:ext cx="872490" cy="44830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94" name="ID_134D1E26250642CFAF0AAF1F7FF6C04C" descr=" "/>
        <xdr:cNvPicPr/>
      </xdr:nvPicPr>
      <xdr:blipFill>
        <a:blip r:embed="rId191"/>
        <a:srcRect/>
        <a:stretch>
          <a:fillRect/>
        </a:stretch>
      </xdr:blipFill>
      <xdr:spPr>
        <a:xfrm>
          <a:off x="1647825" y="89851232"/>
          <a:ext cx="2162175" cy="169544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95" name="ID_EE27DCDF49994E4C8AE7D97F245CAEB3" descr=" "/>
        <xdr:cNvPicPr/>
      </xdr:nvPicPr>
      <xdr:blipFill>
        <a:blip r:embed="rId192"/>
        <a:srcRect/>
        <a:stretch>
          <a:fillRect/>
        </a:stretch>
      </xdr:blipFill>
      <xdr:spPr>
        <a:xfrm>
          <a:off x="1642745" y="78553944"/>
          <a:ext cx="1290320" cy="145415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96" name="ID_360D68A7EDF3483381BF3B41540D8FB7" descr=" "/>
        <xdr:cNvPicPr/>
      </xdr:nvPicPr>
      <xdr:blipFill>
        <a:blip r:embed="rId193"/>
        <a:srcRect/>
        <a:stretch>
          <a:fillRect/>
        </a:stretch>
      </xdr:blipFill>
      <xdr:spPr>
        <a:xfrm>
          <a:off x="1895475" y="22051010"/>
          <a:ext cx="1220470" cy="69659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197" name="ID_C3775847DDF6473195FB0B05E584E626" descr=" "/>
        <xdr:cNvPicPr/>
      </xdr:nvPicPr>
      <xdr:blipFill>
        <a:blip r:embed="rId194"/>
        <a:srcRect/>
        <a:stretch>
          <a:fillRect/>
        </a:stretch>
      </xdr:blipFill>
      <xdr:spPr>
        <a:xfrm>
          <a:off x="1866900" y="53298088"/>
          <a:ext cx="1419225" cy="103822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198" name="ID_C0761E2FC4854FEB90899692F98D67CF" descr=" "/>
        <xdr:cNvPicPr/>
      </xdr:nvPicPr>
      <xdr:blipFill>
        <a:blip r:embed="rId195"/>
        <a:srcRect/>
        <a:stretch>
          <a:fillRect/>
        </a:stretch>
      </xdr:blipFill>
      <xdr:spPr>
        <a:xfrm>
          <a:off x="2286000" y="167424736"/>
          <a:ext cx="814070" cy="121665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199" name="ID_F6EBFDA1ABD449E889D760122BE84D78" descr=" "/>
        <xdr:cNvPicPr/>
      </xdr:nvPicPr>
      <xdr:blipFill>
        <a:blip r:embed="rId196"/>
        <a:srcRect/>
        <a:stretch>
          <a:fillRect/>
        </a:stretch>
      </xdr:blipFill>
      <xdr:spPr>
        <a:xfrm>
          <a:off x="1790700" y="32943164"/>
          <a:ext cx="1857375" cy="80962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00" name="ID_4F22EE0B94FB4E33B99F5D57D6E4925A" descr="0J3A1040"/>
        <xdr:cNvPicPr/>
      </xdr:nvPicPr>
      <xdr:blipFill>
        <a:blip r:embed="rId87"/>
        <a:srcRect/>
        <a:stretch>
          <a:fillRect/>
        </a:stretch>
      </xdr:blipFill>
      <xdr:spPr>
        <a:xfrm>
          <a:off x="4418965" y="11017250"/>
          <a:ext cx="1189990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01" name="ID_03A03C8061A4482FA92D54970B23918D" descr=" "/>
        <xdr:cNvPicPr/>
      </xdr:nvPicPr>
      <xdr:blipFill>
        <a:blip r:embed="rId197"/>
        <a:srcRect/>
        <a:stretch>
          <a:fillRect/>
        </a:stretch>
      </xdr:blipFill>
      <xdr:spPr>
        <a:xfrm>
          <a:off x="2397760" y="74624568"/>
          <a:ext cx="281305" cy="156146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02" name="ID_82891DBF75204902B210DFA37C8BF11E" descr=" "/>
        <xdr:cNvPicPr/>
      </xdr:nvPicPr>
      <xdr:blipFill>
        <a:blip r:embed="rId198"/>
        <a:srcRect/>
        <a:stretch>
          <a:fillRect/>
        </a:stretch>
      </xdr:blipFill>
      <xdr:spPr>
        <a:xfrm>
          <a:off x="1762125" y="169926640"/>
          <a:ext cx="1292860" cy="48830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03" name="ID_3F7A7942FCC54FD7B907A38597AEA910" descr=" "/>
        <xdr:cNvPicPr/>
      </xdr:nvPicPr>
      <xdr:blipFill>
        <a:blip r:embed="rId199"/>
        <a:srcRect/>
        <a:stretch>
          <a:fillRect/>
        </a:stretch>
      </xdr:blipFill>
      <xdr:spPr>
        <a:xfrm>
          <a:off x="1581150" y="40417752"/>
          <a:ext cx="647700" cy="72389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04" name="ID_0E4ADF449F004B2E997E2A6ACAE8B6F0" descr=" "/>
        <xdr:cNvPicPr/>
      </xdr:nvPicPr>
      <xdr:blipFill>
        <a:blip r:embed="rId200"/>
        <a:srcRect/>
        <a:stretch>
          <a:fillRect/>
        </a:stretch>
      </xdr:blipFill>
      <xdr:spPr>
        <a:xfrm>
          <a:off x="2241550" y="140876656"/>
          <a:ext cx="812800" cy="108331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05" name="ID_C01674D81F424725A0D295ED6D7D0A6B" descr=" "/>
        <xdr:cNvPicPr/>
      </xdr:nvPicPr>
      <xdr:blipFill>
        <a:blip r:embed="rId201"/>
        <a:srcRect/>
        <a:stretch>
          <a:fillRect/>
        </a:stretch>
      </xdr:blipFill>
      <xdr:spPr>
        <a:xfrm>
          <a:off x="1943100" y="87507448"/>
          <a:ext cx="1470025" cy="9512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06" name="ID_DA8940F2002E4794BABC89A805FE47B0" descr=" "/>
        <xdr:cNvPicPr/>
      </xdr:nvPicPr>
      <xdr:blipFill>
        <a:blip r:embed="rId202"/>
        <a:srcRect/>
        <a:stretch>
          <a:fillRect/>
        </a:stretch>
      </xdr:blipFill>
      <xdr:spPr>
        <a:xfrm>
          <a:off x="2164715" y="83778728"/>
          <a:ext cx="795655" cy="1949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07" name="ID_8E1993F621C14BD3B713197CB93D48CE" descr=" "/>
        <xdr:cNvPicPr/>
      </xdr:nvPicPr>
      <xdr:blipFill>
        <a:blip r:embed="rId203"/>
        <a:srcRect/>
        <a:stretch>
          <a:fillRect/>
        </a:stretch>
      </xdr:blipFill>
      <xdr:spPr>
        <a:xfrm>
          <a:off x="4972050" y="8820785"/>
          <a:ext cx="1257935" cy="107823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08" name="ID_CEBD545F05A640AC81A7B81315B1C750" descr=" "/>
        <xdr:cNvPicPr/>
      </xdr:nvPicPr>
      <xdr:blipFill>
        <a:blip r:embed="rId204"/>
        <a:srcRect/>
        <a:stretch>
          <a:fillRect/>
        </a:stretch>
      </xdr:blipFill>
      <xdr:spPr>
        <a:xfrm>
          <a:off x="2085975" y="92213432"/>
          <a:ext cx="856615" cy="4286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09" name="ID_B234EF83FCC14751AA30E06D62A157C4" descr=" "/>
        <xdr:cNvPicPr/>
      </xdr:nvPicPr>
      <xdr:blipFill>
        <a:blip r:embed="rId205"/>
        <a:srcRect/>
        <a:stretch>
          <a:fillRect/>
        </a:stretch>
      </xdr:blipFill>
      <xdr:spPr>
        <a:xfrm>
          <a:off x="4705985" y="101650168"/>
          <a:ext cx="791210" cy="66420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10" name="ID_0FAAA66F8C51451D88AE4E74A55CFDBE" descr=" "/>
        <xdr:cNvPicPr/>
      </xdr:nvPicPr>
      <xdr:blipFill>
        <a:blip r:embed="rId206"/>
        <a:srcRect/>
        <a:stretch>
          <a:fillRect/>
        </a:stretch>
      </xdr:blipFill>
      <xdr:spPr>
        <a:xfrm>
          <a:off x="1857375" y="34911032"/>
          <a:ext cx="1781175" cy="10382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11" name="ID_7EAAC7FA7D7C4166A70255BCA18ADCC9" descr=" "/>
        <xdr:cNvPicPr/>
      </xdr:nvPicPr>
      <xdr:blipFill>
        <a:blip r:embed="rId207"/>
        <a:srcRect/>
        <a:stretch>
          <a:fillRect/>
        </a:stretch>
      </xdr:blipFill>
      <xdr:spPr>
        <a:xfrm>
          <a:off x="4933950" y="15219045"/>
          <a:ext cx="1086485" cy="81915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12" name="ID_797446C306324917A6A56AD04CCB0B12" descr=" "/>
        <xdr:cNvPicPr/>
      </xdr:nvPicPr>
      <xdr:blipFill>
        <a:blip r:embed="rId208"/>
        <a:srcRect/>
        <a:stretch>
          <a:fillRect/>
        </a:stretch>
      </xdr:blipFill>
      <xdr:spPr>
        <a:xfrm>
          <a:off x="1576070" y="46344840"/>
          <a:ext cx="1308100" cy="166243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13" name="ID_7B2C4D1D97AE4129B6BC9DC61DAACD51" descr=" "/>
        <xdr:cNvPicPr/>
      </xdr:nvPicPr>
      <xdr:blipFill>
        <a:blip r:embed="rId209"/>
        <a:srcRect/>
        <a:stretch>
          <a:fillRect/>
        </a:stretch>
      </xdr:blipFill>
      <xdr:spPr>
        <a:xfrm>
          <a:off x="1618615" y="67390008"/>
          <a:ext cx="1656715" cy="107632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14" name="ID_CB43B26044EE4AAD9B5DA13273705119" descr=" "/>
        <xdr:cNvPicPr/>
      </xdr:nvPicPr>
      <xdr:blipFill>
        <a:blip r:embed="rId210"/>
        <a:srcRect/>
        <a:stretch>
          <a:fillRect/>
        </a:stretch>
      </xdr:blipFill>
      <xdr:spPr>
        <a:xfrm>
          <a:off x="3391535" y="26257250"/>
          <a:ext cx="799465" cy="69088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15" name="ID_F23A669BD834488FA6F88D56DEA00AA6" descr="0J3A1028"/>
        <xdr:cNvPicPr/>
      </xdr:nvPicPr>
      <xdr:blipFill>
        <a:blip r:embed="rId211"/>
        <a:srcRect/>
        <a:stretch>
          <a:fillRect/>
        </a:stretch>
      </xdr:blipFill>
      <xdr:spPr>
        <a:xfrm>
          <a:off x="4371340" y="24733250"/>
          <a:ext cx="1189990" cy="79311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16" name="ID_68E0984C5378438DA1952FE23871FCFA" descr=" "/>
        <xdr:cNvPicPr/>
      </xdr:nvPicPr>
      <xdr:blipFill>
        <a:blip r:embed="rId212"/>
        <a:srcRect/>
        <a:stretch>
          <a:fillRect/>
        </a:stretch>
      </xdr:blipFill>
      <xdr:spPr>
        <a:xfrm>
          <a:off x="2647950" y="112491520"/>
          <a:ext cx="95250" cy="104584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17" name="ID_1F401D9B27C643CFAFC38B1275C1101B" descr=" "/>
        <xdr:cNvPicPr/>
      </xdr:nvPicPr>
      <xdr:blipFill>
        <a:blip r:embed="rId213"/>
        <a:srcRect/>
        <a:stretch>
          <a:fillRect/>
        </a:stretch>
      </xdr:blipFill>
      <xdr:spPr>
        <a:xfrm>
          <a:off x="2990850" y="7606030"/>
          <a:ext cx="1685925" cy="6045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18" name="ID_9D45F78D4ACB42C2851B5EE4799BCC93" descr="0J3A1025"/>
        <xdr:cNvPicPr/>
      </xdr:nvPicPr>
      <xdr:blipFill>
        <a:blip r:embed="rId214"/>
        <a:srcRect/>
        <a:stretch>
          <a:fillRect/>
        </a:stretch>
      </xdr:blipFill>
      <xdr:spPr>
        <a:xfrm>
          <a:off x="4552315" y="82324576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19" name="ID_C41EE037391845128A0F24ADAF3F8A85" descr="0J3A9204"/>
        <xdr:cNvPicPr/>
      </xdr:nvPicPr>
      <xdr:blipFill>
        <a:blip r:embed="rId215"/>
        <a:srcRect/>
        <a:stretch>
          <a:fillRect/>
        </a:stretch>
      </xdr:blipFill>
      <xdr:spPr>
        <a:xfrm>
          <a:off x="4610100" y="85067776"/>
          <a:ext cx="1095375" cy="73405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20" name="ID_E6202F6A3BB24A1784CAD7C869A607C7" descr=" "/>
        <xdr:cNvPicPr/>
      </xdr:nvPicPr>
      <xdr:blipFill>
        <a:blip r:embed="rId216"/>
        <a:srcRect/>
        <a:stretch>
          <a:fillRect/>
        </a:stretch>
      </xdr:blipFill>
      <xdr:spPr>
        <a:xfrm>
          <a:off x="5220335" y="2383790"/>
          <a:ext cx="600075" cy="115951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21" name="ID_FBE3F55A05054E0BB277DCC961B1AB36" descr=" "/>
        <xdr:cNvPicPr/>
      </xdr:nvPicPr>
      <xdr:blipFill>
        <a:blip r:embed="rId217"/>
        <a:srcRect/>
        <a:stretch>
          <a:fillRect/>
        </a:stretch>
      </xdr:blipFill>
      <xdr:spPr>
        <a:xfrm>
          <a:off x="3039110" y="15615920"/>
          <a:ext cx="1514475" cy="62166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22" name="ID_C6791A1AF4334567A4D676A286380BC7" descr=" "/>
        <xdr:cNvPicPr/>
      </xdr:nvPicPr>
      <xdr:blipFill>
        <a:blip r:embed="rId218"/>
        <a:srcRect/>
        <a:stretch>
          <a:fillRect/>
        </a:stretch>
      </xdr:blipFill>
      <xdr:spPr>
        <a:xfrm>
          <a:off x="5085715" y="17657444"/>
          <a:ext cx="895350" cy="176403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23" name="ID_B8434CE753D9402FB1D9B3AB78552238" descr=" "/>
        <xdr:cNvPicPr/>
      </xdr:nvPicPr>
      <xdr:blipFill>
        <a:blip r:embed="rId219"/>
        <a:srcRect/>
        <a:stretch>
          <a:fillRect/>
        </a:stretch>
      </xdr:blipFill>
      <xdr:spPr>
        <a:xfrm>
          <a:off x="2379345" y="63331088"/>
          <a:ext cx="622300" cy="108267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24" name="ID_B4A458D5EF3844FDAACEBC2B222D932B" descr=" "/>
        <xdr:cNvPicPr/>
      </xdr:nvPicPr>
      <xdr:blipFill>
        <a:blip r:embed="rId220"/>
        <a:srcRect/>
        <a:stretch>
          <a:fillRect/>
        </a:stretch>
      </xdr:blipFill>
      <xdr:spPr>
        <a:xfrm>
          <a:off x="2228850" y="73815576"/>
          <a:ext cx="690245" cy="91884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25" name="ID_2F78D116F60246859956229335217765" descr=" "/>
        <xdr:cNvPicPr/>
      </xdr:nvPicPr>
      <xdr:blipFill>
        <a:blip r:embed="rId221"/>
        <a:srcRect/>
        <a:stretch>
          <a:fillRect/>
        </a:stretch>
      </xdr:blipFill>
      <xdr:spPr>
        <a:xfrm>
          <a:off x="1981835" y="29641164"/>
          <a:ext cx="922020" cy="94932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26" name="ID_7535B31B2F984293B79D7E798EEA90A5" descr=" "/>
        <xdr:cNvPicPr/>
      </xdr:nvPicPr>
      <xdr:blipFill>
        <a:blip r:embed="rId222"/>
        <a:srcRect/>
        <a:stretch>
          <a:fillRect/>
        </a:stretch>
      </xdr:blipFill>
      <xdr:spPr>
        <a:xfrm>
          <a:off x="2244090" y="104359712"/>
          <a:ext cx="904240" cy="37655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27" name="ID_CB766974E8774C3889AF017FE68B422B" descr="0J3A5420"/>
        <xdr:cNvPicPr/>
      </xdr:nvPicPr>
      <xdr:blipFill>
        <a:blip r:embed="rId223"/>
        <a:srcRect/>
        <a:stretch>
          <a:fillRect/>
        </a:stretch>
      </xdr:blipFill>
      <xdr:spPr>
        <a:xfrm>
          <a:off x="4363085" y="30219650"/>
          <a:ext cx="1189990" cy="79311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28" name="ID_5FDE5A32C0CA4496ABDF10EDFBDC6811" descr=" "/>
        <xdr:cNvPicPr/>
      </xdr:nvPicPr>
      <xdr:blipFill>
        <a:blip r:embed="rId224"/>
        <a:srcRect/>
        <a:stretch>
          <a:fillRect/>
        </a:stretch>
      </xdr:blipFill>
      <xdr:spPr>
        <a:xfrm>
          <a:off x="5009515" y="4278630"/>
          <a:ext cx="1086485" cy="67564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29" name="ID_CAF8683DA05A42DDBF58B762BBE17C79" descr=" "/>
        <xdr:cNvPicPr/>
      </xdr:nvPicPr>
      <xdr:blipFill>
        <a:blip r:embed="rId225"/>
        <a:srcRect/>
        <a:stretch>
          <a:fillRect/>
        </a:stretch>
      </xdr:blipFill>
      <xdr:spPr>
        <a:xfrm>
          <a:off x="2200275" y="5447665"/>
          <a:ext cx="631825" cy="47498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30" name="ID_D59FF22A6287454784B7DCB60C45244C" descr=" "/>
        <xdr:cNvPicPr/>
      </xdr:nvPicPr>
      <xdr:blipFill>
        <a:blip r:embed="rId226"/>
        <a:srcRect/>
        <a:stretch>
          <a:fillRect/>
        </a:stretch>
      </xdr:blipFill>
      <xdr:spPr>
        <a:xfrm>
          <a:off x="2200275" y="102923976"/>
          <a:ext cx="687705" cy="64833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31" name="ID_E32AC6BA081A40C389A46017514CDE18" descr=" "/>
        <xdr:cNvPicPr/>
      </xdr:nvPicPr>
      <xdr:blipFill>
        <a:blip r:embed="rId227"/>
        <a:srcRect/>
        <a:stretch>
          <a:fillRect/>
        </a:stretch>
      </xdr:blipFill>
      <xdr:spPr>
        <a:xfrm>
          <a:off x="1952625" y="66812796"/>
          <a:ext cx="989965" cy="75755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32" name="ID_6F55529EB6E24EDAB71FC96F58F54373" descr=" "/>
        <xdr:cNvPicPr/>
      </xdr:nvPicPr>
      <xdr:blipFill>
        <a:blip r:embed="rId228"/>
        <a:srcRect/>
        <a:stretch>
          <a:fillRect/>
        </a:stretch>
      </xdr:blipFill>
      <xdr:spPr>
        <a:xfrm>
          <a:off x="2143760" y="96125032"/>
          <a:ext cx="1217930" cy="11525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33" name="ID_698D012E89D34B1B9B4F688B998BA737" descr=" "/>
        <xdr:cNvPicPr/>
      </xdr:nvPicPr>
      <xdr:blipFill>
        <a:blip r:embed="rId229"/>
        <a:srcRect/>
        <a:stretch>
          <a:fillRect/>
        </a:stretch>
      </xdr:blipFill>
      <xdr:spPr>
        <a:xfrm>
          <a:off x="3028950" y="14603095"/>
          <a:ext cx="1629410" cy="64897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34" name="ID_784478E30B554600A9DB09F96DBF14B7" descr=" "/>
        <xdr:cNvPicPr/>
      </xdr:nvPicPr>
      <xdr:blipFill>
        <a:blip r:embed="rId230"/>
        <a:srcRect/>
        <a:stretch>
          <a:fillRect/>
        </a:stretch>
      </xdr:blipFill>
      <xdr:spPr>
        <a:xfrm>
          <a:off x="4362450" y="34269044"/>
          <a:ext cx="1390650" cy="111442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35" name="ID_2747BFD781D04E28945255B3834E6554" descr=" "/>
        <xdr:cNvPicPr/>
      </xdr:nvPicPr>
      <xdr:blipFill>
        <a:blip r:embed="rId231"/>
        <a:srcRect/>
        <a:stretch>
          <a:fillRect/>
        </a:stretch>
      </xdr:blipFill>
      <xdr:spPr>
        <a:xfrm>
          <a:off x="4972050" y="56588024"/>
          <a:ext cx="1257935" cy="81851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36" name="ID_87633A9052A943A1BDFE3256F08CBA05" descr=" "/>
        <xdr:cNvPicPr/>
      </xdr:nvPicPr>
      <xdr:blipFill>
        <a:blip r:embed="rId232"/>
        <a:srcRect/>
        <a:stretch>
          <a:fillRect/>
        </a:stretch>
      </xdr:blipFill>
      <xdr:spPr>
        <a:xfrm>
          <a:off x="2193925" y="32167830"/>
          <a:ext cx="563880" cy="48577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37" name="ID_E991E412002C48028B1A4EFB8B82A35D" descr="0J3A2568"/>
        <xdr:cNvPicPr/>
      </xdr:nvPicPr>
      <xdr:blipFill>
        <a:blip r:embed="rId233"/>
        <a:srcRect/>
        <a:stretch>
          <a:fillRect/>
        </a:stretch>
      </xdr:blipFill>
      <xdr:spPr>
        <a:xfrm>
          <a:off x="4371340" y="50815240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38" name="ID_52CC2B27574344C2A7544B7B5878E741" descr=" "/>
        <xdr:cNvPicPr/>
      </xdr:nvPicPr>
      <xdr:blipFill>
        <a:blip r:embed="rId234"/>
        <a:srcRect/>
        <a:stretch>
          <a:fillRect/>
        </a:stretch>
      </xdr:blipFill>
      <xdr:spPr>
        <a:xfrm>
          <a:off x="2123440" y="81772128"/>
          <a:ext cx="785495" cy="59880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39" name="ID_F9BC88574CFC4FB088138B029922DC45" descr=" "/>
        <xdr:cNvPicPr/>
      </xdr:nvPicPr>
      <xdr:blipFill>
        <a:blip r:embed="rId235"/>
        <a:srcRect/>
        <a:stretch>
          <a:fillRect/>
        </a:stretch>
      </xdr:blipFill>
      <xdr:spPr>
        <a:xfrm>
          <a:off x="4914900" y="5734050"/>
          <a:ext cx="1242060" cy="7810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40" name="ID_E292DB9E43134CB2A9D99DE466F4C5DA" descr="0J3A1065"/>
        <xdr:cNvPicPr/>
      </xdr:nvPicPr>
      <xdr:blipFill>
        <a:blip r:embed="rId236"/>
        <a:srcRect/>
        <a:stretch>
          <a:fillRect/>
        </a:stretch>
      </xdr:blipFill>
      <xdr:spPr>
        <a:xfrm>
          <a:off x="4781550" y="33257490"/>
          <a:ext cx="581660" cy="39115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41" name="ID_8FBE0902D83F4773BD46E56E4EA25C2C" descr=" "/>
        <xdr:cNvPicPr/>
      </xdr:nvPicPr>
      <xdr:blipFill>
        <a:blip r:embed="rId237"/>
        <a:srcRect/>
        <a:stretch>
          <a:fillRect/>
        </a:stretch>
      </xdr:blipFill>
      <xdr:spPr>
        <a:xfrm>
          <a:off x="1848485" y="3695065"/>
          <a:ext cx="438150" cy="3886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42" name="ID_9CE8D7C2A2794E46A08BF82EDB24A3E5" descr="0J3A1050"/>
        <xdr:cNvPicPr/>
      </xdr:nvPicPr>
      <xdr:blipFill>
        <a:blip r:embed="rId238"/>
        <a:srcRect/>
        <a:stretch>
          <a:fillRect/>
        </a:stretch>
      </xdr:blipFill>
      <xdr:spPr>
        <a:xfrm>
          <a:off x="4344035" y="61766448"/>
          <a:ext cx="1189355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43" name="ID_B4C34281CF2645539997E5DC385C3E1C" descr=" "/>
        <xdr:cNvPicPr/>
      </xdr:nvPicPr>
      <xdr:blipFill>
        <a:blip r:embed="rId239"/>
        <a:srcRect/>
        <a:stretch>
          <a:fillRect/>
        </a:stretch>
      </xdr:blipFill>
      <xdr:spPr>
        <a:xfrm>
          <a:off x="2314575" y="80724376"/>
          <a:ext cx="552450" cy="101917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44" name="ID_49C87F8E74634135B3E1CA74BD436E10" descr=" "/>
        <xdr:cNvPicPr/>
      </xdr:nvPicPr>
      <xdr:blipFill>
        <a:blip r:embed="rId240"/>
        <a:srcRect/>
        <a:stretch>
          <a:fillRect/>
        </a:stretch>
      </xdr:blipFill>
      <xdr:spPr>
        <a:xfrm>
          <a:off x="2019300" y="20640040"/>
          <a:ext cx="958215" cy="66548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45" name="ID_8BA27905382048A39E832464A981A0BF" descr=" "/>
        <xdr:cNvPicPr/>
      </xdr:nvPicPr>
      <xdr:blipFill>
        <a:blip r:embed="rId241"/>
        <a:srcRect/>
        <a:stretch>
          <a:fillRect/>
        </a:stretch>
      </xdr:blipFill>
      <xdr:spPr>
        <a:xfrm>
          <a:off x="1589405" y="15553690"/>
          <a:ext cx="1620520" cy="8839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46" name="ID_7B5CAA467F4246A6BE111AD72E82B120" descr=" "/>
        <xdr:cNvPicPr/>
      </xdr:nvPicPr>
      <xdr:blipFill>
        <a:blip r:embed="rId242"/>
        <a:srcRect/>
        <a:stretch>
          <a:fillRect/>
        </a:stretch>
      </xdr:blipFill>
      <xdr:spPr>
        <a:xfrm>
          <a:off x="1704975" y="44027724"/>
          <a:ext cx="2809875" cy="7239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47" name="ID_7982F9667D9F46A3B89848B4C84E08C1" descr=" "/>
        <xdr:cNvPicPr/>
      </xdr:nvPicPr>
      <xdr:blipFill>
        <a:blip r:embed="rId243"/>
        <a:srcRect/>
        <a:stretch>
          <a:fillRect/>
        </a:stretch>
      </xdr:blipFill>
      <xdr:spPr>
        <a:xfrm>
          <a:off x="1980565" y="11723370"/>
          <a:ext cx="819785" cy="96901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48" name="ID_5CFD1D775B314E35AAFBBFD2C7404C35" descr=" "/>
        <xdr:cNvPicPr/>
      </xdr:nvPicPr>
      <xdr:blipFill>
        <a:blip r:embed="rId244"/>
        <a:srcRect/>
        <a:stretch>
          <a:fillRect/>
        </a:stretch>
      </xdr:blipFill>
      <xdr:spPr>
        <a:xfrm>
          <a:off x="2724150" y="174437040"/>
          <a:ext cx="438150" cy="136969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49" name="ID_A806B9AF83E749EBBE131E5ADB95D220" descr=" "/>
        <xdr:cNvPicPr/>
      </xdr:nvPicPr>
      <xdr:blipFill>
        <a:blip r:embed="rId245"/>
        <a:srcRect/>
        <a:stretch>
          <a:fillRect/>
        </a:stretch>
      </xdr:blipFill>
      <xdr:spPr>
        <a:xfrm>
          <a:off x="4886325" y="7256780"/>
          <a:ext cx="1343660" cy="817245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50" name="ID_BA8714D90BA549929DB624E1B63C3E73" descr=" "/>
        <xdr:cNvPicPr/>
      </xdr:nvPicPr>
      <xdr:blipFill>
        <a:blip r:embed="rId246"/>
        <a:srcRect/>
        <a:stretch>
          <a:fillRect/>
        </a:stretch>
      </xdr:blipFill>
      <xdr:spPr>
        <a:xfrm>
          <a:off x="2180590" y="106445688"/>
          <a:ext cx="671830" cy="98869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51" name="ID_3EB550EB346143328B81D8EA97CBDE77" descr=" "/>
        <xdr:cNvPicPr/>
      </xdr:nvPicPr>
      <xdr:blipFill>
        <a:blip r:embed="rId247"/>
        <a:srcRect/>
        <a:stretch>
          <a:fillRect/>
        </a:stretch>
      </xdr:blipFill>
      <xdr:spPr>
        <a:xfrm>
          <a:off x="2276475" y="95054416"/>
          <a:ext cx="857250" cy="8185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52" name="ID_4AC651C1EDF34D56A011719A6897B924" descr=" "/>
        <xdr:cNvPicPr/>
      </xdr:nvPicPr>
      <xdr:blipFill>
        <a:blip r:embed="rId248"/>
        <a:srcRect/>
        <a:stretch>
          <a:fillRect/>
        </a:stretch>
      </xdr:blipFill>
      <xdr:spPr>
        <a:xfrm>
          <a:off x="1886585" y="105984040"/>
          <a:ext cx="1263650" cy="78104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53" name="ID_D6EB3B81A843450E9F6A31DE4CB6D172" descr="0J3A2494"/>
        <xdr:cNvPicPr/>
      </xdr:nvPicPr>
      <xdr:blipFill>
        <a:blip r:embed="rId249"/>
        <a:srcRect/>
        <a:stretch>
          <a:fillRect/>
        </a:stretch>
      </xdr:blipFill>
      <xdr:spPr>
        <a:xfrm>
          <a:off x="4344035" y="28837256"/>
          <a:ext cx="1189355" cy="79311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54" name="ID_70D440FDD8B343D18C33DBC4623A080C" descr=" "/>
        <xdr:cNvPicPr/>
      </xdr:nvPicPr>
      <xdr:blipFill>
        <a:blip r:embed="rId250"/>
        <a:srcRect/>
        <a:stretch>
          <a:fillRect/>
        </a:stretch>
      </xdr:blipFill>
      <xdr:spPr>
        <a:xfrm>
          <a:off x="1861185" y="51174648"/>
          <a:ext cx="1026795" cy="103060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55" name="ID_2000EC05B10F4CB582272EF5E6A0AFD7" descr=" "/>
        <xdr:cNvPicPr/>
      </xdr:nvPicPr>
      <xdr:blipFill>
        <a:blip r:embed="rId251"/>
        <a:srcRect/>
        <a:stretch>
          <a:fillRect/>
        </a:stretch>
      </xdr:blipFill>
      <xdr:spPr>
        <a:xfrm>
          <a:off x="2028825" y="27883484"/>
          <a:ext cx="771525" cy="77152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56" name="ID_ABBF9619EC294524982F0E370CB71804" descr=" "/>
        <xdr:cNvPicPr/>
      </xdr:nvPicPr>
      <xdr:blipFill>
        <a:blip r:embed="rId252"/>
        <a:srcRect l="9885" t="11200" r="10301" b="10625"/>
        <a:stretch>
          <a:fillRect/>
        </a:stretch>
      </xdr:blipFill>
      <xdr:spPr>
        <a:xfrm>
          <a:off x="3277235" y="23181944"/>
          <a:ext cx="1095375" cy="60388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57" name="ID_AFD434C9617A44059038F34C1AE50B09" descr=" "/>
        <xdr:cNvPicPr/>
      </xdr:nvPicPr>
      <xdr:blipFill>
        <a:blip r:embed="rId253"/>
        <a:srcRect/>
        <a:stretch>
          <a:fillRect/>
        </a:stretch>
      </xdr:blipFill>
      <xdr:spPr>
        <a:xfrm>
          <a:off x="1924050" y="69300728"/>
          <a:ext cx="1384935" cy="83883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58" name="ID_03C270B512084F0C954B5CF208911800" descr=" "/>
        <xdr:cNvPicPr/>
      </xdr:nvPicPr>
      <xdr:blipFill>
        <a:blip r:embed="rId254"/>
        <a:srcRect/>
        <a:stretch>
          <a:fillRect/>
        </a:stretch>
      </xdr:blipFill>
      <xdr:spPr>
        <a:xfrm>
          <a:off x="2038350" y="123434472"/>
          <a:ext cx="1098550" cy="101664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59" name="ID_E5420D03A0DE43DBB2D42B41DFF470B7" descr=" "/>
        <xdr:cNvPicPr/>
      </xdr:nvPicPr>
      <xdr:blipFill>
        <a:blip r:embed="rId255"/>
        <a:srcRect/>
        <a:stretch>
          <a:fillRect/>
        </a:stretch>
      </xdr:blipFill>
      <xdr:spPr>
        <a:xfrm>
          <a:off x="2132330" y="26738580"/>
          <a:ext cx="1047750" cy="410844"/>
        </a:xfrm>
        <a:prstGeom prst="rect">
          <a:avLst/>
        </a:prstGeom>
        <a:noFill/>
        <a:ln>
          <a:noFill/>
        </a:ln>
        <a:effectLst>
          <a:outerShdw dist="38100" dir="2699999" algn="tl" rotWithShape="0">
            <a:srgbClr val="000000">
              <a:alpha val="39999"/>
            </a:srgbClr>
          </a:outerShdw>
        </a:effectLst>
      </xdr:spPr>
    </xdr:pic>
  </etc:cellImage>
  <etc:cellImage>
    <xdr:pic>
      <xdr:nvPicPr>
        <xdr:cNvPr id="260" name="ID_AF3DB71A27B4448F98BA4D391E8D5764" descr=" "/>
        <xdr:cNvPicPr/>
      </xdr:nvPicPr>
      <xdr:blipFill>
        <a:blip r:embed="rId256"/>
        <a:srcRect/>
        <a:stretch>
          <a:fillRect/>
        </a:stretch>
      </xdr:blipFill>
      <xdr:spPr>
        <a:xfrm>
          <a:off x="2200275" y="99917888"/>
          <a:ext cx="838200" cy="61276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61" name="ID_1AC8D34C1FC94D93BF0D750D83F531DC" descr="0J3A1061"/>
        <xdr:cNvPicPr/>
      </xdr:nvPicPr>
      <xdr:blipFill>
        <a:blip r:embed="rId257"/>
        <a:srcRect/>
        <a:stretch>
          <a:fillRect/>
        </a:stretch>
      </xdr:blipFill>
      <xdr:spPr>
        <a:xfrm>
          <a:off x="4371340" y="54897656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62" name="ID_AAEAB8CD19804F309A7B928671737C73" descr=" "/>
        <xdr:cNvPicPr/>
      </xdr:nvPicPr>
      <xdr:blipFill>
        <a:blip r:embed="rId258"/>
        <a:srcRect/>
        <a:stretch>
          <a:fillRect/>
        </a:stretch>
      </xdr:blipFill>
      <xdr:spPr>
        <a:xfrm>
          <a:off x="1906270" y="60380244"/>
          <a:ext cx="758190" cy="90805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63" name="ID_E4DDE0683132450CBDA4FDB333EEB1E2" descr=" "/>
        <xdr:cNvPicPr/>
      </xdr:nvPicPr>
      <xdr:blipFill>
        <a:blip r:embed="rId259"/>
        <a:srcRect/>
        <a:stretch>
          <a:fillRect/>
        </a:stretch>
      </xdr:blipFill>
      <xdr:spPr>
        <a:xfrm>
          <a:off x="1581150" y="42646600"/>
          <a:ext cx="2676525" cy="78104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64" name="ID_F5E5A5D028324C0D958181B75048E43C" descr=" "/>
        <xdr:cNvPicPr/>
      </xdr:nvPicPr>
      <xdr:blipFill>
        <a:blip r:embed="rId260"/>
        <a:srcRect/>
        <a:stretch>
          <a:fillRect/>
        </a:stretch>
      </xdr:blipFill>
      <xdr:spPr>
        <a:xfrm>
          <a:off x="2504440" y="141912976"/>
          <a:ext cx="817880" cy="109283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65" name="ID_CCF88394DA5442CF90838CB01D9E84A0" descr="0J3A2499"/>
        <xdr:cNvPicPr/>
      </xdr:nvPicPr>
      <xdr:blipFill>
        <a:blip r:embed="rId261"/>
        <a:srcRect/>
        <a:stretch>
          <a:fillRect/>
        </a:stretch>
      </xdr:blipFill>
      <xdr:spPr>
        <a:xfrm>
          <a:off x="4390390" y="2723515"/>
          <a:ext cx="1180465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66" name="ID_D1FE9D73613B4F01B621356D23F63300" descr=" "/>
        <xdr:cNvPicPr/>
      </xdr:nvPicPr>
      <xdr:blipFill>
        <a:blip r:embed="rId262"/>
        <a:srcRect/>
        <a:stretch>
          <a:fillRect/>
        </a:stretch>
      </xdr:blipFill>
      <xdr:spPr>
        <a:xfrm>
          <a:off x="4876800" y="37518976"/>
          <a:ext cx="1372235" cy="80010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67" name="ID_58F5A672D62843828E72D765E4D65256" descr=" "/>
        <xdr:cNvPicPr/>
      </xdr:nvPicPr>
      <xdr:blipFill>
        <a:blip r:embed="rId263"/>
        <a:srcRect/>
        <a:stretch>
          <a:fillRect/>
        </a:stretch>
      </xdr:blipFill>
      <xdr:spPr>
        <a:xfrm>
          <a:off x="1933575" y="76946128"/>
          <a:ext cx="641350" cy="9620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68" name="ID_E2A209AA4B204E408DF95FC4CB84D34D" descr=" "/>
        <xdr:cNvPicPr/>
      </xdr:nvPicPr>
      <xdr:blipFill>
        <a:blip r:embed="rId264"/>
        <a:srcRect/>
        <a:stretch>
          <a:fillRect/>
        </a:stretch>
      </xdr:blipFill>
      <xdr:spPr>
        <a:xfrm>
          <a:off x="1857375" y="140898880"/>
          <a:ext cx="1149985" cy="72326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69" name="ID_4C59C2517CC44EA78160775916E6ED4A" descr=" "/>
        <xdr:cNvPicPr/>
      </xdr:nvPicPr>
      <xdr:blipFill>
        <a:blip r:embed="rId265"/>
        <a:srcRect/>
        <a:stretch>
          <a:fillRect/>
        </a:stretch>
      </xdr:blipFill>
      <xdr:spPr>
        <a:xfrm>
          <a:off x="2019300" y="120535064"/>
          <a:ext cx="928370" cy="85471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70" name="ID_6DD5902CDCE8491DA028889FB124CEE2" descr=" "/>
        <xdr:cNvPicPr/>
      </xdr:nvPicPr>
      <xdr:blipFill>
        <a:blip r:embed="rId266"/>
        <a:srcRect/>
        <a:stretch>
          <a:fillRect/>
        </a:stretch>
      </xdr:blipFill>
      <xdr:spPr>
        <a:xfrm>
          <a:off x="1904365" y="61698504"/>
          <a:ext cx="1134745" cy="74549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71" name="ID_D0DDCB2922F94BE2863CAE33E35C178E" descr=" "/>
        <xdr:cNvPicPr/>
      </xdr:nvPicPr>
      <xdr:blipFill>
        <a:blip r:embed="rId267"/>
        <a:srcRect/>
        <a:stretch>
          <a:fillRect/>
        </a:stretch>
      </xdr:blipFill>
      <xdr:spPr>
        <a:xfrm>
          <a:off x="5133340" y="49971324"/>
          <a:ext cx="866775" cy="63182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72" name="ID_0F389CA0F83E47AE85AA4CC6187E44C1" descr=" "/>
        <xdr:cNvPicPr/>
      </xdr:nvPicPr>
      <xdr:blipFill>
        <a:blip r:embed="rId268"/>
        <a:srcRect/>
        <a:stretch>
          <a:fillRect/>
        </a:stretch>
      </xdr:blipFill>
      <xdr:spPr>
        <a:xfrm>
          <a:off x="2381250" y="170671488"/>
          <a:ext cx="876300" cy="13233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73" name="ID_143A78AA8C034D0FBD233784BF491DCC" descr="0J3A0945"/>
        <xdr:cNvPicPr/>
      </xdr:nvPicPr>
      <xdr:blipFill>
        <a:blip r:embed="rId269"/>
        <a:srcRect/>
        <a:stretch>
          <a:fillRect/>
        </a:stretch>
      </xdr:blipFill>
      <xdr:spPr>
        <a:xfrm>
          <a:off x="4590415" y="100342704"/>
          <a:ext cx="989965" cy="66420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74" name="ID_830FDCB3AD634AE18106F77F3BBF9078" descr=" "/>
        <xdr:cNvPicPr/>
      </xdr:nvPicPr>
      <xdr:blipFill>
        <a:blip r:embed="rId270"/>
        <a:srcRect/>
        <a:stretch>
          <a:fillRect/>
        </a:stretch>
      </xdr:blipFill>
      <xdr:spPr>
        <a:xfrm>
          <a:off x="3333750" y="8365490"/>
          <a:ext cx="847090" cy="68262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75" name="ID_FEC84ACD4FC54936875BBA42F02FE52D" descr=" "/>
        <xdr:cNvPicPr/>
      </xdr:nvPicPr>
      <xdr:blipFill>
        <a:blip r:embed="rId271"/>
        <a:srcRect/>
        <a:stretch>
          <a:fillRect/>
        </a:stretch>
      </xdr:blipFill>
      <xdr:spPr>
        <a:xfrm>
          <a:off x="2357120" y="111497744"/>
          <a:ext cx="730250" cy="15690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76" name="ID_FD6601ADBB694DD09651B050824D6AC1" descr=" "/>
        <xdr:cNvPicPr/>
      </xdr:nvPicPr>
      <xdr:blipFill>
        <a:blip r:embed="rId272"/>
        <a:srcRect/>
        <a:stretch>
          <a:fillRect/>
        </a:stretch>
      </xdr:blipFill>
      <xdr:spPr>
        <a:xfrm>
          <a:off x="2054225" y="7416800"/>
          <a:ext cx="1020445" cy="136017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77" name="ID_A1136E0766324C00B340C22498B0CBE7" descr=" "/>
        <xdr:cNvPicPr/>
      </xdr:nvPicPr>
      <xdr:blipFill>
        <a:blip r:embed="rId273"/>
        <a:srcRect/>
        <a:stretch>
          <a:fillRect/>
        </a:stretch>
      </xdr:blipFill>
      <xdr:spPr>
        <a:xfrm>
          <a:off x="2362200" y="11972290"/>
          <a:ext cx="994410" cy="760095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78" name="ID_6F2D9EEF140140FEABDCA69E0CA0558B" descr=" "/>
        <xdr:cNvPicPr/>
      </xdr:nvPicPr>
      <xdr:blipFill>
        <a:blip r:embed="rId274"/>
        <a:srcRect/>
        <a:stretch>
          <a:fillRect/>
        </a:stretch>
      </xdr:blipFill>
      <xdr:spPr>
        <a:xfrm>
          <a:off x="2352675" y="51530248"/>
          <a:ext cx="1019175" cy="74549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79" name="ID_0AB55D87913E43308F90349DDBC38EA2" descr="0J3A2533"/>
        <xdr:cNvPicPr/>
      </xdr:nvPicPr>
      <xdr:blipFill>
        <a:blip r:embed="rId275"/>
        <a:srcRect/>
        <a:stretch>
          <a:fillRect/>
        </a:stretch>
      </xdr:blipFill>
      <xdr:spPr>
        <a:xfrm>
          <a:off x="4448175" y="16492855"/>
          <a:ext cx="1057275" cy="707389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80" name="ID_EA44B1F917FD4F8291F26D04D87AECA7" descr=" "/>
        <xdr:cNvPicPr/>
      </xdr:nvPicPr>
      <xdr:blipFill>
        <a:blip r:embed="rId276"/>
        <a:srcRect/>
        <a:stretch>
          <a:fillRect/>
        </a:stretch>
      </xdr:blipFill>
      <xdr:spPr>
        <a:xfrm>
          <a:off x="1579880" y="77777344"/>
          <a:ext cx="1743710" cy="19621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81" name="ID_29910ABBC4404499A33417DE253817ED" descr="0J3A3205"/>
        <xdr:cNvPicPr/>
      </xdr:nvPicPr>
      <xdr:blipFill>
        <a:blip r:embed="rId277"/>
        <a:srcRect/>
        <a:stretch>
          <a:fillRect/>
        </a:stretch>
      </xdr:blipFill>
      <xdr:spPr>
        <a:xfrm>
          <a:off x="4371340" y="75504040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82" name="ID_9C28108142D6400D9E16EAB733575920" descr=" "/>
        <xdr:cNvPicPr/>
      </xdr:nvPicPr>
      <xdr:blipFill>
        <a:blip r:embed="rId278"/>
        <a:srcRect/>
        <a:stretch>
          <a:fillRect/>
        </a:stretch>
      </xdr:blipFill>
      <xdr:spPr>
        <a:xfrm>
          <a:off x="1828800" y="2546985"/>
          <a:ext cx="895350" cy="107632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83" name="ID_27684379976B46A39E4E58883FEB1DD6" descr=" "/>
        <xdr:cNvPicPr/>
      </xdr:nvPicPr>
      <xdr:blipFill>
        <a:blip r:embed="rId279"/>
        <a:srcRect/>
        <a:stretch>
          <a:fillRect/>
        </a:stretch>
      </xdr:blipFill>
      <xdr:spPr>
        <a:xfrm>
          <a:off x="2038350" y="117351808"/>
          <a:ext cx="1019175" cy="113856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84" name="ID_078A9AFEBBED420CBFA2A0132D2E2933" descr="0J3A0962"/>
        <xdr:cNvPicPr/>
      </xdr:nvPicPr>
      <xdr:blipFill>
        <a:blip r:embed="rId280"/>
        <a:srcRect/>
        <a:stretch>
          <a:fillRect/>
        </a:stretch>
      </xdr:blipFill>
      <xdr:spPr>
        <a:xfrm>
          <a:off x="4371340" y="70028432"/>
          <a:ext cx="1189990" cy="793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85" name="ID_C92FCD32B09741D6A951A9F59B7BE369" descr=" "/>
        <xdr:cNvPicPr/>
      </xdr:nvPicPr>
      <xdr:blipFill>
        <a:blip r:embed="rId281"/>
        <a:srcRect/>
        <a:stretch>
          <a:fillRect/>
        </a:stretch>
      </xdr:blipFill>
      <xdr:spPr>
        <a:xfrm>
          <a:off x="2228850" y="121518048"/>
          <a:ext cx="914400" cy="73850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86" name="ID_3446B545C97347728634E586A27D664D" descr="0J3A2558"/>
        <xdr:cNvPicPr/>
      </xdr:nvPicPr>
      <xdr:blipFill>
        <a:blip r:embed="rId135"/>
        <a:srcRect/>
        <a:stretch>
          <a:fillRect/>
        </a:stretch>
      </xdr:blipFill>
      <xdr:spPr>
        <a:xfrm>
          <a:off x="4371340" y="45328840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87" name="ID_BB840098651C4795AEF4E6C70DFC8BB8" descr=" "/>
        <xdr:cNvPicPr/>
      </xdr:nvPicPr>
      <xdr:blipFill>
        <a:blip r:embed="rId282"/>
        <a:srcRect/>
        <a:stretch>
          <a:fillRect/>
        </a:stretch>
      </xdr:blipFill>
      <xdr:spPr>
        <a:xfrm>
          <a:off x="1961515" y="34481136"/>
          <a:ext cx="1064260" cy="75438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88" name="ID_9CF0B32EB40546329130552462A283E9" descr="0J3A2504"/>
        <xdr:cNvPicPr/>
      </xdr:nvPicPr>
      <xdr:blipFill>
        <a:blip r:embed="rId283"/>
        <a:srcRect/>
        <a:stretch>
          <a:fillRect/>
        </a:stretch>
      </xdr:blipFill>
      <xdr:spPr>
        <a:xfrm>
          <a:off x="4361815" y="49488088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89" name="ID_C676C4DD2BBC4853AAAEEFB3495EA7B0" descr=" "/>
        <xdr:cNvPicPr/>
      </xdr:nvPicPr>
      <xdr:blipFill>
        <a:blip r:embed="rId284"/>
        <a:srcRect/>
        <a:stretch>
          <a:fillRect/>
        </a:stretch>
      </xdr:blipFill>
      <xdr:spPr>
        <a:xfrm>
          <a:off x="1857375" y="165720400"/>
          <a:ext cx="819150" cy="122236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90" name="ID_A8322AA755F34FC692519E1DF09F1910" descr=" "/>
        <xdr:cNvPicPr/>
      </xdr:nvPicPr>
      <xdr:blipFill>
        <a:blip r:embed="rId285"/>
        <a:srcRect/>
        <a:stretch>
          <a:fillRect/>
        </a:stretch>
      </xdr:blipFill>
      <xdr:spPr>
        <a:xfrm>
          <a:off x="1762125" y="134874640"/>
          <a:ext cx="1298575" cy="75436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91" name="ID_6320129AC0BA4BB3BD3FF874D54F1424" descr="0J3A2552"/>
        <xdr:cNvPicPr/>
      </xdr:nvPicPr>
      <xdr:blipFill>
        <a:blip r:embed="rId286"/>
        <a:srcRect/>
        <a:stretch>
          <a:fillRect/>
        </a:stretch>
      </xdr:blipFill>
      <xdr:spPr>
        <a:xfrm>
          <a:off x="4696460" y="93302456"/>
          <a:ext cx="1009015" cy="6750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92" name="ID_437C82DD50D04FE989B73BB3C104D0DF" descr=" "/>
        <xdr:cNvPicPr/>
      </xdr:nvPicPr>
      <xdr:blipFill>
        <a:blip r:embed="rId287"/>
        <a:srcRect/>
        <a:stretch>
          <a:fillRect/>
        </a:stretch>
      </xdr:blipFill>
      <xdr:spPr>
        <a:xfrm>
          <a:off x="2189480" y="186656976"/>
          <a:ext cx="894080" cy="124715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93" name="ID_49D43F9B6BFC4CED9120C09879D3E4B6" descr=" "/>
        <xdr:cNvPicPr/>
      </xdr:nvPicPr>
      <xdr:blipFill>
        <a:blip r:embed="rId288"/>
        <a:srcRect/>
        <a:stretch>
          <a:fillRect/>
        </a:stretch>
      </xdr:blipFill>
      <xdr:spPr>
        <a:xfrm>
          <a:off x="2009775" y="55346600"/>
          <a:ext cx="752475" cy="10744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94" name="ID_F1AB8D188D34423DA024B1CF22567608" descr=" "/>
        <xdr:cNvPicPr/>
      </xdr:nvPicPr>
      <xdr:blipFill>
        <a:blip r:embed="rId56"/>
        <a:srcRect/>
        <a:stretch>
          <a:fillRect/>
        </a:stretch>
      </xdr:blipFill>
      <xdr:spPr>
        <a:xfrm>
          <a:off x="2000250" y="6501765"/>
          <a:ext cx="885825" cy="166687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95" name="ID_DAC55DFC07B54304AFDA94EBE47B276C" descr=" "/>
        <xdr:cNvPicPr/>
      </xdr:nvPicPr>
      <xdr:blipFill>
        <a:blip r:embed="rId289"/>
        <a:srcRect/>
        <a:stretch>
          <a:fillRect/>
        </a:stretch>
      </xdr:blipFill>
      <xdr:spPr>
        <a:xfrm>
          <a:off x="2200275" y="151686256"/>
          <a:ext cx="794385" cy="71883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96" name="ID_DFE3D225195A4FBD9A93FA958CB4356E" descr="C:\Users\M111055\AppData\Roaming\Tencent\Users\438920665\QQ\WinTemp\RichOle\I3W7D(}6Z)H@N}1_7)@0TF2.png"/>
        <xdr:cNvPicPr/>
      </xdr:nvPicPr>
      <xdr:blipFill>
        <a:blip r:embed="rId290"/>
        <a:srcRect r="11420"/>
        <a:stretch>
          <a:fillRect/>
        </a:stretch>
      </xdr:blipFill>
      <xdr:spPr>
        <a:xfrm>
          <a:off x="1666240" y="2291080"/>
          <a:ext cx="1633855" cy="10033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297" name="ID_AFACC61FFBFD4C29B3FF54C3541AA913" descr=" "/>
        <xdr:cNvPicPr/>
      </xdr:nvPicPr>
      <xdr:blipFill>
        <a:blip r:embed="rId291"/>
        <a:srcRect/>
        <a:stretch>
          <a:fillRect/>
        </a:stretch>
      </xdr:blipFill>
      <xdr:spPr>
        <a:xfrm>
          <a:off x="1873250" y="65446276"/>
          <a:ext cx="929640" cy="85280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298" name="ID_6D8C9DE30D204424BC31A98565DB9640" descr=" "/>
        <xdr:cNvPicPr/>
      </xdr:nvPicPr>
      <xdr:blipFill>
        <a:blip r:embed="rId292"/>
        <a:srcRect/>
        <a:stretch>
          <a:fillRect/>
        </a:stretch>
      </xdr:blipFill>
      <xdr:spPr>
        <a:xfrm>
          <a:off x="2019300" y="104394632"/>
          <a:ext cx="1022350" cy="74549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299" name="ID_F50E462CDBF84418BB0CDE825B9EB61E" descr=" "/>
        <xdr:cNvPicPr/>
      </xdr:nvPicPr>
      <xdr:blipFill>
        <a:blip r:embed="rId293"/>
        <a:srcRect/>
        <a:stretch>
          <a:fillRect/>
        </a:stretch>
      </xdr:blipFill>
      <xdr:spPr>
        <a:xfrm>
          <a:off x="2133600" y="85881208"/>
          <a:ext cx="1084580" cy="68580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00" name="ID_179E0520547B470F829D856A392FA49D" descr=" "/>
        <xdr:cNvPicPr/>
      </xdr:nvPicPr>
      <xdr:blipFill>
        <a:blip r:embed="rId294"/>
        <a:srcRect/>
        <a:stretch>
          <a:fillRect/>
        </a:stretch>
      </xdr:blipFill>
      <xdr:spPr>
        <a:xfrm>
          <a:off x="2200275" y="98489136"/>
          <a:ext cx="647065" cy="50609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01" name="ID_F58FBA76C44143D7992482B4CE986591" descr=" "/>
        <xdr:cNvPicPr/>
      </xdr:nvPicPr>
      <xdr:blipFill>
        <a:blip r:embed="rId295"/>
        <a:srcRect/>
        <a:stretch>
          <a:fillRect/>
        </a:stretch>
      </xdr:blipFill>
      <xdr:spPr>
        <a:xfrm>
          <a:off x="1724660" y="9972040"/>
          <a:ext cx="1597660" cy="88773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02" name="ID_04E14449EF5B463BA63DF6CB23A13C3B" descr=" "/>
        <xdr:cNvPicPr/>
      </xdr:nvPicPr>
      <xdr:blipFill>
        <a:blip r:embed="rId296"/>
        <a:srcRect/>
        <a:stretch>
          <a:fillRect/>
        </a:stretch>
      </xdr:blipFill>
      <xdr:spPr>
        <a:xfrm>
          <a:off x="1728470" y="29848810"/>
          <a:ext cx="1444625" cy="137350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03" name="ID_16CCE2534F6D4347AFA3E329B71E05DA" descr=" "/>
        <xdr:cNvPicPr/>
      </xdr:nvPicPr>
      <xdr:blipFill>
        <a:blip r:embed="rId297"/>
        <a:srcRect/>
        <a:stretch>
          <a:fillRect/>
        </a:stretch>
      </xdr:blipFill>
      <xdr:spPr>
        <a:xfrm>
          <a:off x="1821815" y="97100392"/>
          <a:ext cx="603885" cy="86423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04" name="ID_EE801986C3294A428BD3EC0A7BC9D821" descr=" "/>
        <xdr:cNvPicPr/>
      </xdr:nvPicPr>
      <xdr:blipFill>
        <a:blip r:embed="rId298"/>
        <a:srcRect/>
        <a:stretch>
          <a:fillRect/>
        </a:stretch>
      </xdr:blipFill>
      <xdr:spPr>
        <a:xfrm>
          <a:off x="1999615" y="40356792"/>
          <a:ext cx="1063625" cy="91376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05" name="ID_D74A6337472C4C05813B44926E3DD154" descr=" "/>
        <xdr:cNvPicPr/>
      </xdr:nvPicPr>
      <xdr:blipFill>
        <a:blip r:embed="rId299"/>
        <a:srcRect/>
        <a:stretch>
          <a:fillRect/>
        </a:stretch>
      </xdr:blipFill>
      <xdr:spPr>
        <a:xfrm>
          <a:off x="1999615" y="177570128"/>
          <a:ext cx="774065" cy="77280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06" name="ID_A9ABADADC8F249DB9D59F34781DA1B66" descr=" "/>
        <xdr:cNvPicPr/>
      </xdr:nvPicPr>
      <xdr:blipFill>
        <a:blip r:embed="rId300"/>
        <a:srcRect/>
        <a:stretch>
          <a:fillRect/>
        </a:stretch>
      </xdr:blipFill>
      <xdr:spPr>
        <a:xfrm>
          <a:off x="1551305" y="110027088"/>
          <a:ext cx="1649730" cy="79184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07" name="ID_80038674925E4E95BD6798F95626AD2C" descr=" "/>
        <xdr:cNvPicPr/>
      </xdr:nvPicPr>
      <xdr:blipFill>
        <a:blip r:embed="rId301"/>
        <a:srcRect/>
        <a:stretch>
          <a:fillRect/>
        </a:stretch>
      </xdr:blipFill>
      <xdr:spPr>
        <a:xfrm>
          <a:off x="1952625" y="38037136"/>
          <a:ext cx="1143000" cy="55244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08" name="ID_BDDEE03C909B4FA1A61008EE36467ADD" descr=" "/>
        <xdr:cNvPicPr/>
      </xdr:nvPicPr>
      <xdr:blipFill>
        <a:blip r:embed="rId302"/>
        <a:srcRect/>
        <a:stretch>
          <a:fillRect/>
        </a:stretch>
      </xdr:blipFill>
      <xdr:spPr>
        <a:xfrm>
          <a:off x="2788285" y="30920056"/>
          <a:ext cx="559435" cy="51498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09" name="ID_821227327DDB462BBC580745C29ED23E" descr=" "/>
        <xdr:cNvPicPr/>
      </xdr:nvPicPr>
      <xdr:blipFill>
        <a:blip r:embed="rId303"/>
        <a:srcRect l="9212" t="10211" r="13602" b="6885"/>
        <a:stretch>
          <a:fillRect/>
        </a:stretch>
      </xdr:blipFill>
      <xdr:spPr>
        <a:xfrm>
          <a:off x="3333750" y="22362796"/>
          <a:ext cx="904875" cy="65595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10" name="ID_DDFEA9B22A6546DA915D0D118FCCE8C3" descr=" "/>
        <xdr:cNvPicPr/>
      </xdr:nvPicPr>
      <xdr:blipFill>
        <a:blip r:embed="rId304"/>
        <a:srcRect/>
        <a:stretch>
          <a:fillRect/>
        </a:stretch>
      </xdr:blipFill>
      <xdr:spPr>
        <a:xfrm>
          <a:off x="1885315" y="158328352"/>
          <a:ext cx="1734185" cy="102617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11" name="ID_4B5DCD3836194675BD48CAB44F12B017" descr=" "/>
        <xdr:cNvPicPr/>
      </xdr:nvPicPr>
      <xdr:blipFill>
        <a:blip r:embed="rId305"/>
        <a:srcRect/>
        <a:stretch>
          <a:fillRect/>
        </a:stretch>
      </xdr:blipFill>
      <xdr:spPr>
        <a:xfrm>
          <a:off x="1873885" y="79854424"/>
          <a:ext cx="1288415" cy="6184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12" name="ID_6ED8D0549B2D41F5B644543B41AED926" descr=" "/>
        <xdr:cNvPicPr/>
      </xdr:nvPicPr>
      <xdr:blipFill>
        <a:blip r:embed="rId143"/>
        <a:srcRect/>
        <a:stretch>
          <a:fillRect/>
        </a:stretch>
      </xdr:blipFill>
      <xdr:spPr>
        <a:xfrm>
          <a:off x="2400300" y="93030672"/>
          <a:ext cx="864235" cy="56007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13" name="ID_E18D6420277C4E04BB4DF6B56879D64F" descr=" "/>
        <xdr:cNvPicPr/>
      </xdr:nvPicPr>
      <xdr:blipFill>
        <a:blip r:embed="rId306"/>
        <a:srcRect/>
        <a:stretch>
          <a:fillRect/>
        </a:stretch>
      </xdr:blipFill>
      <xdr:spPr>
        <a:xfrm>
          <a:off x="2221865" y="33905824"/>
          <a:ext cx="1000760" cy="80073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14" name="ID_629E0C832C4543799B7C6EE1CFA4239B" descr="0J3A1045"/>
        <xdr:cNvPicPr/>
      </xdr:nvPicPr>
      <xdr:blipFill>
        <a:blip r:embed="rId307"/>
        <a:srcRect/>
        <a:stretch>
          <a:fillRect/>
        </a:stretch>
      </xdr:blipFill>
      <xdr:spPr>
        <a:xfrm>
          <a:off x="4399915" y="52165248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15" name="ID_C78047B6C13249FEBE376E76C06AA6CA" descr=" "/>
        <xdr:cNvPicPr/>
      </xdr:nvPicPr>
      <xdr:blipFill>
        <a:blip r:embed="rId308"/>
        <a:srcRect/>
        <a:stretch>
          <a:fillRect/>
        </a:stretch>
      </xdr:blipFill>
      <xdr:spPr>
        <a:xfrm>
          <a:off x="2143125" y="150167968"/>
          <a:ext cx="724535" cy="68390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16" name="ID_F72CF3C89B084C93A0715C03B057E636" descr=" "/>
        <xdr:cNvPicPr/>
      </xdr:nvPicPr>
      <xdr:blipFill>
        <a:blip r:embed="rId309"/>
        <a:srcRect/>
        <a:stretch>
          <a:fillRect/>
        </a:stretch>
      </xdr:blipFill>
      <xdr:spPr>
        <a:xfrm>
          <a:off x="1913890" y="159494848"/>
          <a:ext cx="1734185" cy="129604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17" name="ID_7719268ECB31449D8E4E6CF700E4FD4C" descr=" "/>
        <xdr:cNvPicPr/>
      </xdr:nvPicPr>
      <xdr:blipFill>
        <a:blip r:embed="rId310"/>
        <a:srcRect/>
        <a:stretch>
          <a:fillRect/>
        </a:stretch>
      </xdr:blipFill>
      <xdr:spPr>
        <a:xfrm>
          <a:off x="3371215" y="31607124"/>
          <a:ext cx="857250" cy="706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18" name="ID_899D8F06EB6C4C8DACB61EFB7314EF52" descr=" "/>
        <xdr:cNvPicPr/>
      </xdr:nvPicPr>
      <xdr:blipFill>
        <a:blip r:embed="rId311"/>
        <a:srcRect/>
        <a:stretch>
          <a:fillRect/>
        </a:stretch>
      </xdr:blipFill>
      <xdr:spPr>
        <a:xfrm>
          <a:off x="1990725" y="118645936"/>
          <a:ext cx="1219200" cy="93789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19" name="ID_B8465DCF4B86477CA7E899A805AA53F9" descr=" "/>
        <xdr:cNvPicPr/>
      </xdr:nvPicPr>
      <xdr:blipFill>
        <a:blip r:embed="rId312"/>
        <a:srcRect/>
        <a:stretch>
          <a:fillRect/>
        </a:stretch>
      </xdr:blipFill>
      <xdr:spPr>
        <a:xfrm>
          <a:off x="2303145" y="68741928"/>
          <a:ext cx="678180" cy="71818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20" name="ID_AF4936A2FDE1428A92D1A64C09D114D7" descr=" "/>
        <xdr:cNvPicPr/>
      </xdr:nvPicPr>
      <xdr:blipFill>
        <a:blip r:embed="rId313"/>
        <a:srcRect l="46153" t="6665"/>
        <a:stretch>
          <a:fillRect/>
        </a:stretch>
      </xdr:blipFill>
      <xdr:spPr>
        <a:xfrm>
          <a:off x="5201285" y="54567456"/>
          <a:ext cx="628650" cy="57022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21" name="ID_812B73BCFD4A44D9ACFA25ED5785F368" descr=" "/>
        <xdr:cNvPicPr/>
      </xdr:nvPicPr>
      <xdr:blipFill>
        <a:blip r:embed="rId314"/>
        <a:srcRect/>
        <a:stretch>
          <a:fillRect/>
        </a:stretch>
      </xdr:blipFill>
      <xdr:spPr>
        <a:xfrm rot="21371718">
          <a:off x="1962150" y="128729744"/>
          <a:ext cx="1387475" cy="7315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22" name="ID_F3F4C3FED0B44C98B3999F57F79B691F" descr="0J3A2487"/>
        <xdr:cNvPicPr/>
      </xdr:nvPicPr>
      <xdr:blipFill>
        <a:blip r:embed="rId315"/>
        <a:srcRect/>
        <a:stretch>
          <a:fillRect/>
        </a:stretch>
      </xdr:blipFill>
      <xdr:spPr>
        <a:xfrm>
          <a:off x="4380865" y="67285232"/>
          <a:ext cx="1189990" cy="793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23" name="ID_3B7012F7C0FC4AFAA1D561C39E7138EA" descr=" "/>
        <xdr:cNvPicPr/>
      </xdr:nvPicPr>
      <xdr:blipFill>
        <a:blip r:embed="rId316"/>
        <a:srcRect/>
        <a:stretch>
          <a:fillRect/>
        </a:stretch>
      </xdr:blipFill>
      <xdr:spPr>
        <a:xfrm>
          <a:off x="1915160" y="19181444"/>
          <a:ext cx="1590040" cy="78994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24" name="ID_7110E2257C5B42FA991747ECE8AB95DC" descr=" "/>
        <xdr:cNvPicPr/>
      </xdr:nvPicPr>
      <xdr:blipFill>
        <a:blip r:embed="rId317"/>
        <a:srcRect/>
        <a:stretch>
          <a:fillRect/>
        </a:stretch>
      </xdr:blipFill>
      <xdr:spPr>
        <a:xfrm>
          <a:off x="2190750" y="70450072"/>
          <a:ext cx="742950" cy="74168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25" name="ID_A1DE6A65203A4D3DAD69714A66219317" descr="C:\Documents and Settings\Administrator.KNSH-DELL230\Application Data\Tencent\Users\494045209\QQ\WinTemp\RichOle\YHA9{U0_@F{I8HB}@X[I`~A.png"/>
        <xdr:cNvPicPr/>
      </xdr:nvPicPr>
      <xdr:blipFill>
        <a:blip r:embed="rId318"/>
        <a:srcRect/>
        <a:stretch>
          <a:fillRect/>
        </a:stretch>
      </xdr:blipFill>
      <xdr:spPr>
        <a:xfrm>
          <a:off x="5090795" y="51965224"/>
          <a:ext cx="866775" cy="102552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26" name="ID_5F9B8CFCD2954F5CB847033FD577B5A5" descr="0J3A1056"/>
        <xdr:cNvPicPr/>
      </xdr:nvPicPr>
      <xdr:blipFill>
        <a:blip r:embed="rId319"/>
        <a:srcRect/>
        <a:stretch>
          <a:fillRect/>
        </a:stretch>
      </xdr:blipFill>
      <xdr:spPr>
        <a:xfrm>
          <a:off x="4409440" y="12388850"/>
          <a:ext cx="1189990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27" name="ID_959B60B77E504873B7F890AF5C4FD083" descr=" "/>
        <xdr:cNvPicPr/>
      </xdr:nvPicPr>
      <xdr:blipFill>
        <a:blip r:embed="rId320"/>
        <a:srcRect/>
        <a:stretch>
          <a:fillRect/>
        </a:stretch>
      </xdr:blipFill>
      <xdr:spPr>
        <a:xfrm>
          <a:off x="2200275" y="101346632"/>
          <a:ext cx="1000760" cy="66104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28" name="ID_44D9B6154CC14C47B19D68052A89A1DD" descr=" "/>
        <xdr:cNvPicPr/>
      </xdr:nvPicPr>
      <xdr:blipFill>
        <a:blip r:embed="rId321"/>
        <a:srcRect/>
        <a:stretch>
          <a:fillRect/>
        </a:stretch>
      </xdr:blipFill>
      <xdr:spPr>
        <a:xfrm>
          <a:off x="1828800" y="14641830"/>
          <a:ext cx="1476375" cy="101917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29" name="ID_830C7F6068204A6E823E31A0BF3C4E42" descr=" "/>
        <xdr:cNvPicPr/>
      </xdr:nvPicPr>
      <xdr:blipFill>
        <a:blip r:embed="rId322"/>
        <a:srcRect/>
        <a:stretch>
          <a:fillRect/>
        </a:stretch>
      </xdr:blipFill>
      <xdr:spPr>
        <a:xfrm>
          <a:off x="1917700" y="29949776"/>
          <a:ext cx="942340" cy="104330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30" name="ID_6EE6C5776BA94869B49DFE49F699821E" descr=" "/>
        <xdr:cNvPicPr/>
      </xdr:nvPicPr>
      <xdr:blipFill>
        <a:blip r:embed="rId323"/>
        <a:srcRect/>
        <a:stretch>
          <a:fillRect/>
        </a:stretch>
      </xdr:blipFill>
      <xdr:spPr>
        <a:xfrm>
          <a:off x="1886585" y="23640416"/>
          <a:ext cx="1412875" cy="90995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31" name="ID_E0EB0A40ABD44CE99E818E556DC8D039" descr=" "/>
        <xdr:cNvPicPr/>
      </xdr:nvPicPr>
      <xdr:blipFill>
        <a:blip r:embed="rId324"/>
        <a:srcRect/>
        <a:stretch>
          <a:fillRect/>
        </a:stretch>
      </xdr:blipFill>
      <xdr:spPr>
        <a:xfrm>
          <a:off x="4905375" y="23489920"/>
          <a:ext cx="1324610" cy="154368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32" name="ID_E95D955283F54DF6AEF49FDBC33389CF" descr=" "/>
        <xdr:cNvPicPr/>
      </xdr:nvPicPr>
      <xdr:blipFill>
        <a:blip r:embed="rId325"/>
        <a:srcRect/>
        <a:stretch>
          <a:fillRect/>
        </a:stretch>
      </xdr:blipFill>
      <xdr:spPr>
        <a:xfrm>
          <a:off x="1866265" y="77063600"/>
          <a:ext cx="1143635" cy="75882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33" name="ID_B1D38E158F894079B40C71C40446978B" descr=" "/>
        <xdr:cNvPicPr/>
      </xdr:nvPicPr>
      <xdr:blipFill>
        <a:blip r:embed="rId326"/>
        <a:srcRect/>
        <a:stretch>
          <a:fillRect/>
        </a:stretch>
      </xdr:blipFill>
      <xdr:spPr>
        <a:xfrm flipH="1">
          <a:off x="2519680" y="181744624"/>
          <a:ext cx="318770" cy="11398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34" name="ID_DDCD90ABFDFA4F66834CBE3C5AF63723" descr=" "/>
        <xdr:cNvPicPr/>
      </xdr:nvPicPr>
      <xdr:blipFill>
        <a:blip r:embed="rId327"/>
        <a:srcRect/>
        <a:stretch>
          <a:fillRect/>
        </a:stretch>
      </xdr:blipFill>
      <xdr:spPr>
        <a:xfrm>
          <a:off x="3028950" y="29919930"/>
          <a:ext cx="1562735" cy="72580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35" name="ID_21E4FCCE69DA46268F8C962F14CA41C4" descr=" "/>
        <xdr:cNvPicPr/>
      </xdr:nvPicPr>
      <xdr:blipFill>
        <a:blip r:embed="rId328"/>
        <a:srcRect/>
        <a:stretch>
          <a:fillRect/>
        </a:stretch>
      </xdr:blipFill>
      <xdr:spPr>
        <a:xfrm>
          <a:off x="3362325" y="5286375"/>
          <a:ext cx="705485" cy="51752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36" name="ID_2967B82710934D0394214634CFC6D440" descr="0J3A5920"/>
        <xdr:cNvPicPr/>
      </xdr:nvPicPr>
      <xdr:blipFill>
        <a:blip r:embed="rId329"/>
        <a:srcRect/>
        <a:stretch>
          <a:fillRect/>
        </a:stretch>
      </xdr:blipFill>
      <xdr:spPr>
        <a:xfrm>
          <a:off x="4380865" y="27476450"/>
          <a:ext cx="1189990" cy="79311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37" name="ID_5B04B6333EAC4780B0E3E80D7160B155" descr=" "/>
        <xdr:cNvPicPr/>
      </xdr:nvPicPr>
      <xdr:blipFill>
        <a:blip r:embed="rId330"/>
        <a:srcRect/>
        <a:stretch>
          <a:fillRect/>
        </a:stretch>
      </xdr:blipFill>
      <xdr:spPr>
        <a:xfrm>
          <a:off x="2066290" y="105304592"/>
          <a:ext cx="1343025" cy="61721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38" name="ID_AEA1CE564C80442D98263212B3E80B7B" descr=" "/>
        <xdr:cNvPicPr/>
      </xdr:nvPicPr>
      <xdr:blipFill>
        <a:blip r:embed="rId331"/>
        <a:srcRect/>
        <a:stretch>
          <a:fillRect/>
        </a:stretch>
      </xdr:blipFill>
      <xdr:spPr>
        <a:xfrm>
          <a:off x="3047365" y="34892616"/>
          <a:ext cx="1552575" cy="84708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39" name="ID_E3F45CB0A6F140108F9EEA213E44A305" descr=" "/>
        <xdr:cNvPicPr/>
      </xdr:nvPicPr>
      <xdr:blipFill>
        <a:blip r:embed="rId332"/>
        <a:srcRect l="9094" t="6384" r="5280" b="21365"/>
        <a:stretch>
          <a:fillRect/>
        </a:stretch>
      </xdr:blipFill>
      <xdr:spPr>
        <a:xfrm>
          <a:off x="3304540" y="36038792"/>
          <a:ext cx="990600" cy="60578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40" name="ID_C41DFEE3F8E041088AE15CC4CA42BAA3" descr=" "/>
        <xdr:cNvPicPr/>
      </xdr:nvPicPr>
      <xdr:blipFill>
        <a:blip r:embed="rId333"/>
        <a:srcRect/>
        <a:stretch>
          <a:fillRect/>
        </a:stretch>
      </xdr:blipFill>
      <xdr:spPr>
        <a:xfrm>
          <a:off x="1943100" y="45398688"/>
          <a:ext cx="1628775" cy="89344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41" name="ID_ACA547C7D07841608A24A3C106497974" descr=" "/>
        <xdr:cNvPicPr/>
      </xdr:nvPicPr>
      <xdr:blipFill>
        <a:blip r:embed="rId334"/>
        <a:srcRect/>
        <a:stretch>
          <a:fillRect/>
        </a:stretch>
      </xdr:blipFill>
      <xdr:spPr>
        <a:xfrm>
          <a:off x="1730375" y="94817568"/>
          <a:ext cx="765175" cy="134238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42" name="ID_56EF835CD51A4B94B4C8CA45B3EF7104" descr=" "/>
        <xdr:cNvPicPr/>
      </xdr:nvPicPr>
      <xdr:blipFill>
        <a:blip r:embed="rId335"/>
        <a:srcRect/>
        <a:stretch>
          <a:fillRect/>
        </a:stretch>
      </xdr:blipFill>
      <xdr:spPr>
        <a:xfrm>
          <a:off x="2095500" y="10974705"/>
          <a:ext cx="1209675" cy="86868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43" name="ID_98ACBE27879E4A1299CA0AEC54A5845A" descr=" "/>
        <xdr:cNvPicPr/>
      </xdr:nvPicPr>
      <xdr:blipFill>
        <a:blip r:embed="rId336"/>
        <a:srcRect/>
        <a:stretch>
          <a:fillRect/>
        </a:stretch>
      </xdr:blipFill>
      <xdr:spPr>
        <a:xfrm>
          <a:off x="4953000" y="61351160"/>
          <a:ext cx="1276985" cy="74993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44" name="ID_166AC6EB1DCF426EB1A136E540B6B270" descr=" "/>
        <xdr:cNvPicPr/>
      </xdr:nvPicPr>
      <xdr:blipFill>
        <a:blip r:embed="rId337"/>
        <a:srcRect/>
        <a:stretch>
          <a:fillRect/>
        </a:stretch>
      </xdr:blipFill>
      <xdr:spPr>
        <a:xfrm>
          <a:off x="1571625" y="57231916"/>
          <a:ext cx="1838325" cy="234314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45" name="ID_1FF6155EC9FD414CBA0B3971239327C3" descr=" "/>
        <xdr:cNvPicPr/>
      </xdr:nvPicPr>
      <xdr:blipFill>
        <a:blip r:embed="rId338"/>
        <a:srcRect/>
        <a:stretch>
          <a:fillRect/>
        </a:stretch>
      </xdr:blipFill>
      <xdr:spPr>
        <a:xfrm>
          <a:off x="1685925" y="41094024"/>
          <a:ext cx="676275" cy="61912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46" name="ID_589826EFB94F4D6CB8DFE88A31518445" descr=" "/>
        <xdr:cNvPicPr/>
      </xdr:nvPicPr>
      <xdr:blipFill>
        <a:blip r:embed="rId339"/>
        <a:srcRect/>
        <a:stretch>
          <a:fillRect/>
        </a:stretch>
      </xdr:blipFill>
      <xdr:spPr>
        <a:xfrm>
          <a:off x="2457450" y="169477696"/>
          <a:ext cx="812800" cy="121665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47" name="ID_6748171F29084051A120040406163708" descr=" "/>
        <xdr:cNvPicPr/>
      </xdr:nvPicPr>
      <xdr:blipFill>
        <a:blip r:embed="rId340"/>
        <a:srcRect/>
        <a:stretch>
          <a:fillRect/>
        </a:stretch>
      </xdr:blipFill>
      <xdr:spPr>
        <a:xfrm>
          <a:off x="3076575" y="16682720"/>
          <a:ext cx="1437640" cy="58674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48" name="ID_A76DB52EE42D447EA5BB836464C2FDC5" descr=" "/>
        <xdr:cNvPicPr/>
      </xdr:nvPicPr>
      <xdr:blipFill>
        <a:blip r:embed="rId341"/>
        <a:srcRect/>
        <a:stretch>
          <a:fillRect/>
        </a:stretch>
      </xdr:blipFill>
      <xdr:spPr>
        <a:xfrm>
          <a:off x="2438400" y="95939608"/>
          <a:ext cx="903605" cy="72200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49" name="ID_D66D2CE8828E46BEAC402B450D38F70B" descr="SCC`5[HH`J%CL@BB_SU}YUE"/>
        <xdr:cNvPicPr/>
      </xdr:nvPicPr>
      <xdr:blipFill>
        <a:blip r:embed="rId342"/>
        <a:srcRect/>
        <a:stretch>
          <a:fillRect/>
        </a:stretch>
      </xdr:blipFill>
      <xdr:spPr>
        <a:xfrm>
          <a:off x="4534535" y="60432316"/>
          <a:ext cx="1028700" cy="70738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50" name="ID_959EE4C39FD34583BD3A24C943597490" descr="0J3A3232"/>
        <xdr:cNvPicPr/>
      </xdr:nvPicPr>
      <xdr:blipFill>
        <a:blip r:embed="rId343"/>
        <a:srcRect/>
        <a:stretch>
          <a:fillRect/>
        </a:stretch>
      </xdr:blipFill>
      <xdr:spPr>
        <a:xfrm>
          <a:off x="4552315" y="90570048"/>
          <a:ext cx="1189990" cy="793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51" name="ID_84A0BE1CF66C4A79A1E0426BDD6404A8" descr=" "/>
        <xdr:cNvPicPr/>
      </xdr:nvPicPr>
      <xdr:blipFill>
        <a:blip r:embed="rId344"/>
        <a:srcRect/>
        <a:stretch>
          <a:fillRect/>
        </a:stretch>
      </xdr:blipFill>
      <xdr:spPr>
        <a:xfrm>
          <a:off x="1819275" y="18501996"/>
          <a:ext cx="1771650" cy="6819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52" name="ID_EB5586FC4F6147DEBA5BF7000DB811A7" descr=" "/>
        <xdr:cNvPicPr/>
      </xdr:nvPicPr>
      <xdr:blipFill>
        <a:blip r:embed="rId345"/>
        <a:srcRect/>
        <a:stretch>
          <a:fillRect/>
        </a:stretch>
      </xdr:blipFill>
      <xdr:spPr>
        <a:xfrm>
          <a:off x="2140585" y="80728184"/>
          <a:ext cx="1182370" cy="8553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53" name="ID_A70F3B453BCD48EC8983BBD11AB38359" descr="0J3A2554"/>
        <xdr:cNvPicPr/>
      </xdr:nvPicPr>
      <xdr:blipFill>
        <a:blip r:embed="rId346"/>
        <a:srcRect/>
        <a:stretch>
          <a:fillRect/>
        </a:stretch>
      </xdr:blipFill>
      <xdr:spPr>
        <a:xfrm>
          <a:off x="4534535" y="86476840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54" name="ID_11B9006BA77047E0B43D60DEC34181EC" descr=" "/>
        <xdr:cNvPicPr/>
      </xdr:nvPicPr>
      <xdr:blipFill>
        <a:blip r:embed="rId347"/>
        <a:srcRect/>
        <a:stretch>
          <a:fillRect/>
        </a:stretch>
      </xdr:blipFill>
      <xdr:spPr>
        <a:xfrm>
          <a:off x="2656205" y="21956396"/>
          <a:ext cx="624205" cy="52958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55" name="ID_BD6004D7C757453F8DC4D0FF299F83AB" descr=" "/>
        <xdr:cNvPicPr/>
      </xdr:nvPicPr>
      <xdr:blipFill>
        <a:blip r:embed="rId348"/>
        <a:srcRect/>
        <a:stretch>
          <a:fillRect/>
        </a:stretch>
      </xdr:blipFill>
      <xdr:spPr>
        <a:xfrm>
          <a:off x="2028825" y="87786848"/>
          <a:ext cx="1273810" cy="7937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56" name="ID_166645773D32405298437A579E56E0DF" descr=" "/>
        <xdr:cNvPicPr/>
      </xdr:nvPicPr>
      <xdr:blipFill>
        <a:blip r:embed="rId349"/>
        <a:srcRect/>
        <a:stretch>
          <a:fillRect/>
        </a:stretch>
      </xdr:blipFill>
      <xdr:spPr>
        <a:xfrm>
          <a:off x="2200275" y="148548720"/>
          <a:ext cx="502920" cy="77216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57" name="ID_976D815F012049FFBB11B93F6D3C2715" descr=" "/>
        <xdr:cNvPicPr/>
      </xdr:nvPicPr>
      <xdr:blipFill>
        <a:blip r:embed="rId350"/>
        <a:srcRect/>
        <a:stretch>
          <a:fillRect/>
        </a:stretch>
      </xdr:blipFill>
      <xdr:spPr>
        <a:xfrm>
          <a:off x="1628775" y="24574500"/>
          <a:ext cx="1524000" cy="8953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58" name="ID_376A39E492844A91AD0307FC992C12F9" descr=" "/>
        <xdr:cNvPicPr/>
      </xdr:nvPicPr>
      <xdr:blipFill>
        <a:blip r:embed="rId351"/>
        <a:srcRect/>
        <a:stretch>
          <a:fillRect/>
        </a:stretch>
      </xdr:blipFill>
      <xdr:spPr>
        <a:xfrm>
          <a:off x="1752600" y="10513695"/>
          <a:ext cx="971550" cy="9715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59" name="ID_6288EB267C0641C79AF8EF53DADC78F1" descr=" "/>
        <xdr:cNvPicPr/>
      </xdr:nvPicPr>
      <xdr:blipFill>
        <a:blip r:embed="rId352"/>
        <a:srcRect/>
        <a:stretch>
          <a:fillRect/>
        </a:stretch>
      </xdr:blipFill>
      <xdr:spPr>
        <a:xfrm>
          <a:off x="2279015" y="36121976"/>
          <a:ext cx="386715" cy="47370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60" name="ID_13DA3B8C7C7B44ECB4D8F5FB13F8B299" descr=" "/>
        <xdr:cNvPicPr/>
      </xdr:nvPicPr>
      <xdr:blipFill>
        <a:blip r:embed="rId353"/>
        <a:srcRect/>
        <a:stretch>
          <a:fillRect/>
        </a:stretch>
      </xdr:blipFill>
      <xdr:spPr>
        <a:xfrm>
          <a:off x="2059305" y="38733096"/>
          <a:ext cx="734060" cy="98424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61" name="ID_7640191DF1DC43BB97D14EE1272FAEA8" descr="0J3A0946"/>
        <xdr:cNvPicPr/>
      </xdr:nvPicPr>
      <xdr:blipFill>
        <a:blip r:embed="rId354"/>
        <a:srcRect/>
        <a:stretch>
          <a:fillRect/>
        </a:stretch>
      </xdr:blipFill>
      <xdr:spPr>
        <a:xfrm>
          <a:off x="4552315" y="98960304"/>
          <a:ext cx="998855" cy="664848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62" name="ID_6C8E4BCD170A4C75AAB3D56676A163B1" descr=" "/>
        <xdr:cNvPicPr/>
      </xdr:nvPicPr>
      <xdr:blipFill>
        <a:blip r:embed="rId355"/>
        <a:srcRect/>
        <a:stretch>
          <a:fillRect/>
        </a:stretch>
      </xdr:blipFill>
      <xdr:spPr>
        <a:xfrm>
          <a:off x="4876800" y="25577164"/>
          <a:ext cx="1353185" cy="95504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63" name="ID_95A59CF29D0246298F87EDD326F65255" descr=" "/>
        <xdr:cNvPicPr/>
      </xdr:nvPicPr>
      <xdr:blipFill>
        <a:blip r:embed="rId356"/>
        <a:srcRect/>
        <a:stretch>
          <a:fillRect/>
        </a:stretch>
      </xdr:blipFill>
      <xdr:spPr>
        <a:xfrm>
          <a:off x="1943735" y="78653008"/>
          <a:ext cx="1106805" cy="661032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64" name="ID_166250F8CDE141F1A9CA04A6D39A40C0" descr="0J3A5935"/>
        <xdr:cNvPicPr/>
      </xdr:nvPicPr>
      <xdr:blipFill>
        <a:blip r:embed="rId357"/>
        <a:srcRect/>
        <a:stretch>
          <a:fillRect/>
        </a:stretch>
      </xdr:blipFill>
      <xdr:spPr>
        <a:xfrm>
          <a:off x="4380865" y="26094056"/>
          <a:ext cx="1189990" cy="79311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65" name="ID_BCB38B3681684CBC8474E0B50C36F4C8" descr=" "/>
        <xdr:cNvPicPr/>
      </xdr:nvPicPr>
      <xdr:blipFill>
        <a:blip r:embed="rId358"/>
        <a:srcRect/>
        <a:stretch>
          <a:fillRect/>
        </a:stretch>
      </xdr:blipFill>
      <xdr:spPr>
        <a:xfrm>
          <a:off x="3047365" y="29147136"/>
          <a:ext cx="1523365" cy="56134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66" name="ID_5CC04F5ECA704621949DF6019C99B171" descr=" "/>
        <xdr:cNvPicPr/>
      </xdr:nvPicPr>
      <xdr:blipFill>
        <a:blip r:embed="rId359"/>
        <a:srcRect/>
        <a:stretch>
          <a:fillRect/>
        </a:stretch>
      </xdr:blipFill>
      <xdr:spPr>
        <a:xfrm>
          <a:off x="1843405" y="83040856"/>
          <a:ext cx="726440" cy="94996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67" name="ID_F5402826565D4C8AAD1B2B84149759DD" descr=" "/>
        <xdr:cNvPicPr/>
      </xdr:nvPicPr>
      <xdr:blipFill>
        <a:blip r:embed="rId360"/>
        <a:srcRect/>
        <a:stretch>
          <a:fillRect/>
        </a:stretch>
      </xdr:blipFill>
      <xdr:spPr>
        <a:xfrm>
          <a:off x="1800225" y="28767404"/>
          <a:ext cx="828675" cy="80962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68" name="ID_1CB297162EF44E4BA9F2D4679FEE5E32" descr=" "/>
        <xdr:cNvPicPr/>
      </xdr:nvPicPr>
      <xdr:blipFill>
        <a:blip r:embed="rId361"/>
        <a:srcRect/>
        <a:stretch>
          <a:fillRect/>
        </a:stretch>
      </xdr:blipFill>
      <xdr:spPr>
        <a:xfrm>
          <a:off x="1724025" y="38583236"/>
          <a:ext cx="447675" cy="23717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69" name="ID_E64DC7D3F6B2467AB3731B07CE1068A7" descr=" "/>
        <xdr:cNvPicPr/>
      </xdr:nvPicPr>
      <xdr:blipFill>
        <a:blip r:embed="rId362"/>
        <a:srcRect/>
        <a:stretch>
          <a:fillRect/>
        </a:stretch>
      </xdr:blipFill>
      <xdr:spPr>
        <a:xfrm>
          <a:off x="1763395" y="40130728"/>
          <a:ext cx="1220470" cy="151257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70" name="ID_69142A933840466DAE2641E0042F726B" descr=" "/>
        <xdr:cNvPicPr/>
      </xdr:nvPicPr>
      <xdr:blipFill>
        <a:blip r:embed="rId363"/>
        <a:srcRect/>
        <a:stretch>
          <a:fillRect/>
        </a:stretch>
      </xdr:blipFill>
      <xdr:spPr>
        <a:xfrm>
          <a:off x="9095740" y="5920740"/>
          <a:ext cx="885825" cy="65151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71" name="ID_F6C94A08433D42B8A08560352E4A7D58" descr=" "/>
        <xdr:cNvPicPr/>
      </xdr:nvPicPr>
      <xdr:blipFill>
        <a:blip r:embed="rId364"/>
        <a:srcRect/>
        <a:stretch>
          <a:fillRect/>
        </a:stretch>
      </xdr:blipFill>
      <xdr:spPr>
        <a:xfrm>
          <a:off x="2019300" y="48432084"/>
          <a:ext cx="1505585" cy="75311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72" name="ID_E7E058059B714F8FA706611232932CBC" descr=" "/>
        <xdr:cNvPicPr/>
      </xdr:nvPicPr>
      <xdr:blipFill>
        <a:blip r:embed="rId365"/>
        <a:srcRect/>
        <a:stretch>
          <a:fillRect/>
        </a:stretch>
      </xdr:blipFill>
      <xdr:spPr>
        <a:xfrm>
          <a:off x="2152015" y="37546916"/>
          <a:ext cx="795655" cy="54610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73" name="ID_54094C7F31B241F7B25DFF599CDA9D9A" descr=" "/>
        <xdr:cNvPicPr/>
      </xdr:nvPicPr>
      <xdr:blipFill>
        <a:blip r:embed="rId366"/>
        <a:srcRect/>
        <a:stretch>
          <a:fillRect/>
        </a:stretch>
      </xdr:blipFill>
      <xdr:spPr>
        <a:xfrm>
          <a:off x="1905000" y="126834264"/>
          <a:ext cx="1704340" cy="62356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74" name="ID_0DC3C3FC9F784ACC8AF126E2ED217878" descr=" "/>
        <xdr:cNvPicPr/>
      </xdr:nvPicPr>
      <xdr:blipFill>
        <a:blip r:embed="rId367"/>
        <a:srcRect/>
        <a:stretch>
          <a:fillRect/>
        </a:stretch>
      </xdr:blipFill>
      <xdr:spPr>
        <a:xfrm>
          <a:off x="4943475" y="22133560"/>
          <a:ext cx="1286510" cy="85915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75" name="ID_A8CD2E38525648A2BA03715AB9508E9E" descr="0J3A1059"/>
        <xdr:cNvPicPr/>
      </xdr:nvPicPr>
      <xdr:blipFill>
        <a:blip r:embed="rId368"/>
        <a:srcRect/>
        <a:stretch>
          <a:fillRect/>
        </a:stretch>
      </xdr:blipFill>
      <xdr:spPr>
        <a:xfrm>
          <a:off x="4363085" y="43924856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76" name="ID_A7EF50AB4F744B14AF61321AB84DB3B4" descr=" "/>
        <xdr:cNvPicPr/>
      </xdr:nvPicPr>
      <xdr:blipFill>
        <a:blip r:embed="rId369"/>
        <a:srcRect/>
        <a:stretch>
          <a:fillRect/>
        </a:stretch>
      </xdr:blipFill>
      <xdr:spPr>
        <a:xfrm>
          <a:off x="2133600" y="52377340"/>
          <a:ext cx="1402080" cy="108330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77" name="ID_BA80323C144E41468D01D81A622FD554" descr="0J3A2502"/>
        <xdr:cNvPicPr/>
      </xdr:nvPicPr>
      <xdr:blipFill>
        <a:blip r:embed="rId370"/>
        <a:srcRect/>
        <a:stretch>
          <a:fillRect/>
        </a:stretch>
      </xdr:blipFill>
      <xdr:spPr>
        <a:xfrm>
          <a:off x="4448175" y="5477510"/>
          <a:ext cx="1189990" cy="79311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78" name="ID_9F1749A2ACCD4A5DA88CE47E7A970340" descr=" "/>
        <xdr:cNvPicPr/>
      </xdr:nvPicPr>
      <xdr:blipFill>
        <a:blip r:embed="rId371"/>
        <a:srcRect/>
        <a:stretch>
          <a:fillRect/>
        </a:stretch>
      </xdr:blipFill>
      <xdr:spPr>
        <a:xfrm>
          <a:off x="2990850" y="24660860"/>
          <a:ext cx="1675765" cy="66357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79" name="ID_098CC7BA42614544BD855043CA9CF5FD" descr=" "/>
        <xdr:cNvPicPr/>
      </xdr:nvPicPr>
      <xdr:blipFill>
        <a:blip r:embed="rId372"/>
        <a:srcRect/>
        <a:stretch>
          <a:fillRect/>
        </a:stretch>
      </xdr:blipFill>
      <xdr:spPr>
        <a:xfrm>
          <a:off x="1990725" y="54315360"/>
          <a:ext cx="1390650" cy="89535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80" name="ID_07F61CBE771948BB8DE4D0D4D6BD4EB5" descr=" "/>
        <xdr:cNvPicPr/>
      </xdr:nvPicPr>
      <xdr:blipFill>
        <a:blip r:embed="rId373"/>
        <a:srcRect/>
        <a:stretch>
          <a:fillRect/>
        </a:stretch>
      </xdr:blipFill>
      <xdr:spPr>
        <a:xfrm>
          <a:off x="1684655" y="21776056"/>
          <a:ext cx="1702435" cy="9442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81" name="ID_5C1D1C39EB214641BB4DF72F72AE1BED" descr=" "/>
        <xdr:cNvPicPr/>
      </xdr:nvPicPr>
      <xdr:blipFill>
        <a:blip r:embed="rId374"/>
        <a:srcRect/>
        <a:stretch>
          <a:fillRect/>
        </a:stretch>
      </xdr:blipFill>
      <xdr:spPr>
        <a:xfrm>
          <a:off x="2028190" y="96774632"/>
          <a:ext cx="1014095" cy="73216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82" name="ID_78D31ED74D1C4F9998C8AD45AB3099E9" descr=" "/>
        <xdr:cNvPicPr/>
      </xdr:nvPicPr>
      <xdr:blipFill>
        <a:blip r:embed="rId375"/>
        <a:srcRect/>
        <a:stretch>
          <a:fillRect/>
        </a:stretch>
      </xdr:blipFill>
      <xdr:spPr>
        <a:xfrm>
          <a:off x="2619375" y="166379520"/>
          <a:ext cx="828675" cy="123316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83" name="ID_5816266D5FB241EDBBD437D06E1B9929" descr=" "/>
        <xdr:cNvPicPr/>
      </xdr:nvPicPr>
      <xdr:blipFill>
        <a:blip r:embed="rId376"/>
        <a:srcRect/>
        <a:stretch>
          <a:fillRect/>
        </a:stretch>
      </xdr:blipFill>
      <xdr:spPr>
        <a:xfrm>
          <a:off x="2676525" y="69633464"/>
          <a:ext cx="1028065" cy="90296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84" name="ID_CAAE814A499A42B3877D683B7FE29F2C" descr="图片包含 日历  描述已自动生成"/>
        <xdr:cNvPicPr/>
      </xdr:nvPicPr>
      <xdr:blipFill>
        <a:blip r:embed="rId377"/>
        <a:srcRect/>
        <a:stretch>
          <a:fillRect/>
        </a:stretch>
      </xdr:blipFill>
      <xdr:spPr>
        <a:xfrm>
          <a:off x="3362325" y="34019488"/>
          <a:ext cx="742950" cy="80327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85" name="ID_2D200501C1BB461F88A71D711A85F348" descr=" "/>
        <xdr:cNvPicPr/>
      </xdr:nvPicPr>
      <xdr:blipFill>
        <a:blip r:embed="rId378"/>
        <a:srcRect/>
        <a:stretch>
          <a:fillRect/>
        </a:stretch>
      </xdr:blipFill>
      <xdr:spPr>
        <a:xfrm>
          <a:off x="2091690" y="82856704"/>
          <a:ext cx="1159510" cy="82740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86" name="ID_0BD4D8FC75644FE79CE6888640BE8043" descr=" "/>
        <xdr:cNvPicPr/>
      </xdr:nvPicPr>
      <xdr:blipFill>
        <a:blip r:embed="rId352"/>
        <a:srcRect/>
        <a:stretch>
          <a:fillRect/>
        </a:stretch>
      </xdr:blipFill>
      <xdr:spPr>
        <a:xfrm>
          <a:off x="2081530" y="49133760"/>
          <a:ext cx="381000" cy="44513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87" name="ID_D63188EF4A1D46BB871D945ED4F90FF2" descr="0J3A2490"/>
        <xdr:cNvPicPr/>
      </xdr:nvPicPr>
      <xdr:blipFill>
        <a:blip r:embed="rId379"/>
        <a:srcRect/>
        <a:stretch>
          <a:fillRect/>
        </a:stretch>
      </xdr:blipFill>
      <xdr:spPr>
        <a:xfrm>
          <a:off x="4399915" y="74143232"/>
          <a:ext cx="1189990" cy="79312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88" name="ID_AAD23527412E4268BEA908A820E0F5A4" descr=" "/>
        <xdr:cNvPicPr/>
      </xdr:nvPicPr>
      <xdr:blipFill>
        <a:blip r:embed="rId380"/>
        <a:srcRect/>
        <a:stretch>
          <a:fillRect/>
        </a:stretch>
      </xdr:blipFill>
      <xdr:spPr>
        <a:xfrm>
          <a:off x="1786890" y="93894912"/>
          <a:ext cx="1167765" cy="156972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89" name="ID_D8EC59BDD147480D91AEFC2F5C188E83" descr=" "/>
        <xdr:cNvPicPr/>
      </xdr:nvPicPr>
      <xdr:blipFill>
        <a:blip r:embed="rId381"/>
        <a:srcRect/>
        <a:stretch>
          <a:fillRect/>
        </a:stretch>
      </xdr:blipFill>
      <xdr:spPr>
        <a:xfrm>
          <a:off x="4933950" y="40204392"/>
          <a:ext cx="1296035" cy="97028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90" name="ID_A0E45BBF8D6C458BB57FFD2E6D880C94" descr=" "/>
        <xdr:cNvPicPr/>
      </xdr:nvPicPr>
      <xdr:blipFill>
        <a:blip r:embed="rId382"/>
        <a:srcRect/>
        <a:stretch>
          <a:fillRect/>
        </a:stretch>
      </xdr:blipFill>
      <xdr:spPr>
        <a:xfrm>
          <a:off x="5000625" y="38967408"/>
          <a:ext cx="1085850" cy="101790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91" name="ID_EE3949D991E84A75A2E67B21AC9BABE5" descr=" "/>
        <xdr:cNvPicPr/>
      </xdr:nvPicPr>
      <xdr:blipFill>
        <a:blip r:embed="rId383"/>
        <a:srcRect/>
        <a:stretch>
          <a:fillRect/>
        </a:stretch>
      </xdr:blipFill>
      <xdr:spPr>
        <a:xfrm>
          <a:off x="2009775" y="154181168"/>
          <a:ext cx="952500" cy="7620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92" name="ID_87EEB9899336491EAF83B25B9E3C5E69" descr=" "/>
        <xdr:cNvPicPr/>
      </xdr:nvPicPr>
      <xdr:blipFill>
        <a:blip r:embed="rId384"/>
        <a:srcRect/>
        <a:stretch>
          <a:fillRect/>
        </a:stretch>
      </xdr:blipFill>
      <xdr:spPr>
        <a:xfrm>
          <a:off x="2114550" y="113562128"/>
          <a:ext cx="893445" cy="66104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393" name="ID_55657E9185F147D89A2CFBE4AC2718FD" descr=" "/>
        <xdr:cNvPicPr/>
      </xdr:nvPicPr>
      <xdr:blipFill>
        <a:blip r:embed="rId385"/>
        <a:srcRect/>
        <a:stretch>
          <a:fillRect/>
        </a:stretch>
      </xdr:blipFill>
      <xdr:spPr>
        <a:xfrm>
          <a:off x="3124835" y="19061430"/>
          <a:ext cx="1370965" cy="56134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94" name="ID_5E6A67A43FCB4FAAB4EA0CCEDF85DA80" descr=" "/>
        <xdr:cNvPicPr/>
      </xdr:nvPicPr>
      <xdr:blipFill>
        <a:blip r:embed="rId386"/>
        <a:srcRect/>
        <a:stretch>
          <a:fillRect/>
        </a:stretch>
      </xdr:blipFill>
      <xdr:spPr>
        <a:xfrm>
          <a:off x="3277235" y="9177655"/>
          <a:ext cx="1076325" cy="64706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95" name="ID_F80D620218824A4681003A7B8881DA20" descr=" "/>
        <xdr:cNvPicPr/>
      </xdr:nvPicPr>
      <xdr:blipFill>
        <a:blip r:embed="rId387"/>
        <a:srcRect/>
        <a:stretch>
          <a:fillRect/>
        </a:stretch>
      </xdr:blipFill>
      <xdr:spPr>
        <a:xfrm>
          <a:off x="2314575" y="56644540"/>
          <a:ext cx="685800" cy="7080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96" name="ID_FE256F3F704F4D99995C77087486468F" descr=" "/>
        <xdr:cNvPicPr/>
      </xdr:nvPicPr>
      <xdr:blipFill>
        <a:blip r:embed="rId388"/>
        <a:srcRect/>
        <a:stretch>
          <a:fillRect/>
        </a:stretch>
      </xdr:blipFill>
      <xdr:spPr>
        <a:xfrm>
          <a:off x="1943100" y="68761608"/>
          <a:ext cx="1256665" cy="104330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397" name="ID_F1771691AE1E4B17BC4726F13DF67486" descr="0J3A1054"/>
        <xdr:cNvPicPr/>
      </xdr:nvPicPr>
      <xdr:blipFill>
        <a:blip r:embed="rId389"/>
        <a:srcRect/>
        <a:stretch>
          <a:fillRect/>
        </a:stretch>
      </xdr:blipFill>
      <xdr:spPr>
        <a:xfrm>
          <a:off x="4380865" y="53558440"/>
          <a:ext cx="1189990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98" name="ID_977E666BD4834D3B93F1159DB7CAF10E" descr=" "/>
        <xdr:cNvPicPr/>
      </xdr:nvPicPr>
      <xdr:blipFill>
        <a:blip r:embed="rId390"/>
        <a:srcRect/>
        <a:stretch>
          <a:fillRect/>
        </a:stretch>
      </xdr:blipFill>
      <xdr:spPr>
        <a:xfrm>
          <a:off x="2972435" y="19919316"/>
          <a:ext cx="1696085" cy="56197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399" name="ID_F2AF88025FC24D4C8B9F96B860626DDA" descr=" "/>
        <xdr:cNvPicPr/>
      </xdr:nvPicPr>
      <xdr:blipFill>
        <a:blip r:embed="rId391"/>
        <a:srcRect/>
        <a:stretch>
          <a:fillRect/>
        </a:stretch>
      </xdr:blipFill>
      <xdr:spPr>
        <a:xfrm>
          <a:off x="5210810" y="9941560"/>
          <a:ext cx="571500" cy="1390015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00" name="ID_D3CF806F189847CBA2B12E01DABF509A" descr=" "/>
        <xdr:cNvPicPr/>
      </xdr:nvPicPr>
      <xdr:blipFill>
        <a:blip r:embed="rId392"/>
        <a:srcRect/>
        <a:stretch>
          <a:fillRect/>
        </a:stretch>
      </xdr:blipFill>
      <xdr:spPr>
        <a:xfrm>
          <a:off x="1838325" y="50170080"/>
          <a:ext cx="1676400" cy="9239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01" name="ID_306EBEB12F9949F2AFA84AA788BCBCB9" descr=" "/>
        <xdr:cNvPicPr/>
      </xdr:nvPicPr>
      <xdr:blipFill>
        <a:blip r:embed="rId393"/>
        <a:srcRect/>
        <a:stretch>
          <a:fillRect/>
        </a:stretch>
      </xdr:blipFill>
      <xdr:spPr>
        <a:xfrm>
          <a:off x="5009515" y="20792440"/>
          <a:ext cx="1049020" cy="73533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02" name="ID_E0F064F7555346D595BF0B9A546AB3DC" descr=" "/>
        <xdr:cNvPicPr/>
      </xdr:nvPicPr>
      <xdr:blipFill>
        <a:blip r:embed="rId394"/>
        <a:srcRect/>
        <a:stretch>
          <a:fillRect/>
        </a:stretch>
      </xdr:blipFill>
      <xdr:spPr>
        <a:xfrm>
          <a:off x="4991100" y="62387480"/>
          <a:ext cx="1238885" cy="78168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03" name="ID_EE2A2E8159084AA2BC868D60A3A7E895" descr=" "/>
        <xdr:cNvPicPr/>
      </xdr:nvPicPr>
      <xdr:blipFill>
        <a:blip r:embed="rId395"/>
        <a:srcRect/>
        <a:stretch>
          <a:fillRect/>
        </a:stretch>
      </xdr:blipFill>
      <xdr:spPr>
        <a:xfrm>
          <a:off x="1760855" y="92102944"/>
          <a:ext cx="725170" cy="62356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04" name="ID_47BAFAF3115F4428BD0993BC678113D7" descr=" "/>
        <xdr:cNvPicPr/>
      </xdr:nvPicPr>
      <xdr:blipFill>
        <a:blip r:embed="rId396"/>
        <a:srcRect/>
        <a:stretch>
          <a:fillRect/>
        </a:stretch>
      </xdr:blipFill>
      <xdr:spPr>
        <a:xfrm>
          <a:off x="2105025" y="94095568"/>
          <a:ext cx="913765" cy="8858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05" name="ID_D751CE1396BB4C92941EC06B4920E825" descr=" "/>
        <xdr:cNvPicPr/>
      </xdr:nvPicPr>
      <xdr:blipFill>
        <a:blip r:embed="rId397"/>
        <a:srcRect/>
        <a:stretch>
          <a:fillRect/>
        </a:stretch>
      </xdr:blipFill>
      <xdr:spPr>
        <a:xfrm>
          <a:off x="4886325" y="13125450"/>
          <a:ext cx="1086485" cy="18161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06" name="ID_BC5733AF17B1455DA295ABD889C595C8" descr=" "/>
        <xdr:cNvPicPr/>
      </xdr:nvPicPr>
      <xdr:blipFill>
        <a:blip r:embed="rId398"/>
        <a:srcRect/>
        <a:stretch>
          <a:fillRect/>
        </a:stretch>
      </xdr:blipFill>
      <xdr:spPr>
        <a:xfrm>
          <a:off x="3467100" y="20716240"/>
          <a:ext cx="742950" cy="66357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07" name="ID_E1C66B9072AE4E1BB07FF10D9400A008" descr=" "/>
        <xdr:cNvPicPr/>
      </xdr:nvPicPr>
      <xdr:blipFill>
        <a:blip r:embed="rId399"/>
        <a:srcRect/>
        <a:stretch>
          <a:fillRect/>
        </a:stretch>
      </xdr:blipFill>
      <xdr:spPr>
        <a:xfrm>
          <a:off x="1819275" y="129698112"/>
          <a:ext cx="1809750" cy="332422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08" name="ID_51D51E625144474EB43DCFB51AA5B8EB" descr=" "/>
        <xdr:cNvPicPr/>
      </xdr:nvPicPr>
      <xdr:blipFill>
        <a:blip r:embed="rId400"/>
        <a:srcRect/>
        <a:stretch>
          <a:fillRect/>
        </a:stretch>
      </xdr:blipFill>
      <xdr:spPr>
        <a:xfrm>
          <a:off x="2343150" y="175802928"/>
          <a:ext cx="899160" cy="67817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09" name="ID_CD686692F11E4937A716A88B6EAE2076" descr=" "/>
        <xdr:cNvPicPr/>
      </xdr:nvPicPr>
      <xdr:blipFill>
        <a:blip r:embed="rId401"/>
        <a:srcRect/>
        <a:stretch>
          <a:fillRect/>
        </a:stretch>
      </xdr:blipFill>
      <xdr:spPr>
        <a:xfrm>
          <a:off x="1713865" y="159597728"/>
          <a:ext cx="1541780" cy="532768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10" name="ID_9CBDB8CBB3944F069A811E2D74DEE892" descr="C:\Users\M111055\AppData\Roaming\Tencent\Users\438920665\QQ\WinTemp\RichOle\GV(SUF75@NG{HY`8({T[JBC.png"/>
        <xdr:cNvPicPr/>
      </xdr:nvPicPr>
      <xdr:blipFill>
        <a:blip r:embed="rId402"/>
        <a:srcRect/>
        <a:stretch>
          <a:fillRect/>
        </a:stretch>
      </xdr:blipFill>
      <xdr:spPr>
        <a:xfrm>
          <a:off x="2200275" y="6872605"/>
          <a:ext cx="610235" cy="85217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11" name="ID_3235D364954F48C09AEF5478FE4095A7" descr=" "/>
        <xdr:cNvPicPr/>
      </xdr:nvPicPr>
      <xdr:blipFill>
        <a:blip r:embed="rId403"/>
        <a:srcRect/>
        <a:stretch>
          <a:fillRect/>
        </a:stretch>
      </xdr:blipFill>
      <xdr:spPr>
        <a:xfrm>
          <a:off x="1981835" y="146994880"/>
          <a:ext cx="1007745" cy="825504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12" name="ID_873C82BECB99431E886FE69BE75E1E51" descr=" "/>
        <xdr:cNvPicPr/>
      </xdr:nvPicPr>
      <xdr:blipFill>
        <a:blip r:embed="rId404"/>
        <a:srcRect/>
        <a:stretch>
          <a:fillRect/>
        </a:stretch>
      </xdr:blipFill>
      <xdr:spPr>
        <a:xfrm>
          <a:off x="1809115" y="35814636"/>
          <a:ext cx="1235710" cy="803276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13" name="ID_BDF428A7E36A4F4BA57E3496DE255F94" descr=" "/>
        <xdr:cNvPicPr/>
      </xdr:nvPicPr>
      <xdr:blipFill>
        <a:blip r:embed="rId405"/>
        <a:srcRect/>
        <a:stretch>
          <a:fillRect/>
        </a:stretch>
      </xdr:blipFill>
      <xdr:spPr>
        <a:xfrm>
          <a:off x="4943475" y="31306136"/>
          <a:ext cx="1152525" cy="130365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14" name="ID_498094259AD14DBE810167A9E65D66C6" descr=" "/>
        <xdr:cNvPicPr/>
      </xdr:nvPicPr>
      <xdr:blipFill>
        <a:blip r:embed="rId406"/>
        <a:srcRect/>
        <a:stretch>
          <a:fillRect/>
        </a:stretch>
      </xdr:blipFill>
      <xdr:spPr>
        <a:xfrm>
          <a:off x="1771015" y="160710880"/>
          <a:ext cx="1328420" cy="73216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</etc:cellImage>
  <etc:cellImage>
    <xdr:pic>
      <xdr:nvPicPr>
        <xdr:cNvPr id="415" name="ID_18426898CA6C4E499C5067FCAA3F401D" descr=" "/>
        <xdr:cNvPicPr/>
      </xdr:nvPicPr>
      <xdr:blipFill>
        <a:blip r:embed="rId407"/>
        <a:srcRect/>
        <a:stretch>
          <a:fillRect/>
        </a:stretch>
      </xdr:blipFill>
      <xdr:spPr>
        <a:xfrm>
          <a:off x="1956435" y="27858720"/>
          <a:ext cx="1284605" cy="104711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16" name="ID_2531AAEA9D7949BA8BBCB9237770B028" descr=" "/>
        <xdr:cNvPicPr/>
      </xdr:nvPicPr>
      <xdr:blipFill>
        <a:blip r:embed="rId408"/>
        <a:srcRect/>
        <a:stretch>
          <a:fillRect/>
        </a:stretch>
      </xdr:blipFill>
      <xdr:spPr>
        <a:xfrm>
          <a:off x="2352675" y="171406816"/>
          <a:ext cx="819150" cy="1216032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17" name="ID_FA2C2DA0BA044331B9EBCDAFED1507FB" descr=" "/>
        <xdr:cNvPicPr/>
      </xdr:nvPicPr>
      <xdr:blipFill>
        <a:blip r:embed="rId409"/>
        <a:srcRect/>
        <a:stretch>
          <a:fillRect/>
        </a:stretch>
      </xdr:blipFill>
      <xdr:spPr>
        <a:xfrm>
          <a:off x="1696720" y="105197912"/>
          <a:ext cx="1684655" cy="149542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18" name="ID_8D4EFB2F3E344F758CE6ADBC6775DDA0" descr=" "/>
        <xdr:cNvPicPr/>
      </xdr:nvPicPr>
      <xdr:blipFill>
        <a:blip r:embed="rId410"/>
        <a:srcRect/>
        <a:stretch>
          <a:fillRect/>
        </a:stretch>
      </xdr:blipFill>
      <xdr:spPr>
        <a:xfrm>
          <a:off x="2103120" y="22788880"/>
          <a:ext cx="1026160" cy="1077596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19" name="ID_91DAF84928814B2B8D015FAC92EEAA0E" descr=" "/>
        <xdr:cNvPicPr/>
      </xdr:nvPicPr>
      <xdr:blipFill>
        <a:blip r:embed="rId411"/>
        <a:srcRect/>
        <a:stretch>
          <a:fillRect/>
        </a:stretch>
      </xdr:blipFill>
      <xdr:spPr>
        <a:xfrm>
          <a:off x="2092960" y="28953460"/>
          <a:ext cx="913130" cy="829310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20" name="ID_0B787720A3FE42C18CD9C5052E7EC8BB" descr=" "/>
        <xdr:cNvPicPr/>
      </xdr:nvPicPr>
      <xdr:blipFill>
        <a:blip r:embed="rId412"/>
        <a:srcRect/>
        <a:stretch>
          <a:fillRect/>
        </a:stretch>
      </xdr:blipFill>
      <xdr:spPr>
        <a:xfrm>
          <a:off x="1714500" y="79649952"/>
          <a:ext cx="619125" cy="120968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21" name="ID_5413D70D2231457CBA0957237E2184EC" descr="0J3A2483"/>
        <xdr:cNvPicPr/>
      </xdr:nvPicPr>
      <xdr:blipFill>
        <a:blip r:embed="rId413"/>
        <a:srcRect/>
        <a:stretch>
          <a:fillRect/>
        </a:stretch>
      </xdr:blipFill>
      <xdr:spPr>
        <a:xfrm>
          <a:off x="4344035" y="38449248"/>
          <a:ext cx="1189355" cy="793116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22" name="ID_AF739227001640C0A502B1E42C8C1554" descr=" "/>
        <xdr:cNvPicPr/>
      </xdr:nvPicPr>
      <xdr:blipFill>
        <a:blip r:embed="rId414"/>
        <a:srcRect/>
        <a:stretch>
          <a:fillRect/>
        </a:stretch>
      </xdr:blipFill>
      <xdr:spPr>
        <a:xfrm>
          <a:off x="2405380" y="77563344"/>
          <a:ext cx="920115" cy="90614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23" name="ID_21A66DC40E894FCAADA1C4C682819E44" descr="/Users/macbook/Library/Containers/com.kingsoft.wpsoffice.mac/Data/tmp/photoeditapp/20240325095616/temp.pngtemp"/>
        <xdr:cNvPicPr/>
      </xdr:nvPicPr>
      <xdr:blipFill>
        <a:blip r:embed="rId415"/>
        <a:srcRect/>
        <a:stretch>
          <a:fillRect/>
        </a:stretch>
      </xdr:blipFill>
      <xdr:spPr>
        <a:xfrm>
          <a:off x="3319780" y="2513330"/>
          <a:ext cx="854075" cy="1024890"/>
        </a:xfrm>
        <a:prstGeom prst="rect">
          <a:avLst/>
        </a:prstGeom>
        <a:noFill/>
        <a:ln>
          <a:noFill/>
        </a:ln>
        <a:effectLst>
          <a:outerShdw dist="38100" dir="2699999" algn="tl" rotWithShape="0">
            <a:srgbClr val="000000">
              <a:alpha val="39999"/>
            </a:srgbClr>
          </a:outerShdw>
        </a:effectLst>
      </xdr:spPr>
    </xdr:pic>
  </etc:cellImage>
  <etc:cellImage>
    <xdr:pic>
      <xdr:nvPicPr>
        <xdr:cNvPr id="424" name="ID_01ACD93812BA4F3D93D08FE9527F47BE" descr=" "/>
        <xdr:cNvPicPr/>
      </xdr:nvPicPr>
      <xdr:blipFill>
        <a:blip r:embed="rId416"/>
        <a:srcRect/>
        <a:stretch>
          <a:fillRect/>
        </a:stretch>
      </xdr:blipFill>
      <xdr:spPr>
        <a:xfrm>
          <a:off x="2124075" y="115696368"/>
          <a:ext cx="799465" cy="664208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25" name="ID_104006765F79437891300600E76390F1" descr=" "/>
        <xdr:cNvPicPr/>
      </xdr:nvPicPr>
      <xdr:blipFill>
        <a:blip r:embed="rId417"/>
        <a:srcRect/>
        <a:stretch>
          <a:fillRect/>
        </a:stretch>
      </xdr:blipFill>
      <xdr:spPr>
        <a:xfrm>
          <a:off x="3009900" y="27206576"/>
          <a:ext cx="1666875" cy="612774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26" name="ID_361AD56C0BC84DFB807C5F6EFA081EFA" descr="0J3A2555"/>
        <xdr:cNvPicPr/>
      </xdr:nvPicPr>
      <xdr:blipFill>
        <a:blip r:embed="rId418"/>
        <a:srcRect/>
        <a:stretch>
          <a:fillRect/>
        </a:stretch>
      </xdr:blipFill>
      <xdr:spPr>
        <a:xfrm>
          <a:off x="4552315" y="89220040"/>
          <a:ext cx="1189990" cy="79311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27" name="ID_D89EF052AF4B43778469DDD2518ED2E9" descr=" "/>
        <xdr:cNvPicPr/>
      </xdr:nvPicPr>
      <xdr:blipFill>
        <a:blip r:embed="rId419"/>
        <a:srcRect/>
        <a:stretch>
          <a:fillRect/>
        </a:stretch>
      </xdr:blipFill>
      <xdr:spPr>
        <a:xfrm>
          <a:off x="1724025" y="26780490"/>
          <a:ext cx="1257300" cy="16192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28" name="ID_42380C0CA91B4EE6BF0FDCE00AFB72F6" descr=" "/>
        <xdr:cNvPicPr/>
      </xdr:nvPicPr>
      <xdr:blipFill>
        <a:blip r:embed="rId420"/>
        <a:srcRect/>
        <a:stretch>
          <a:fillRect/>
        </a:stretch>
      </xdr:blipFill>
      <xdr:spPr>
        <a:xfrm>
          <a:off x="2152015" y="182895872"/>
          <a:ext cx="1234440" cy="815984"/>
        </a:xfrm>
        <a:prstGeom prst="rect">
          <a:avLst/>
        </a:prstGeom>
        <a:noFill/>
        <a:ln>
          <a:noFill/>
        </a:ln>
        <a:effectLst/>
      </xdr:spPr>
    </xdr:pic>
  </etc:cellImage>
  <etc:cellImage>
    <xdr:pic>
      <xdr:nvPicPr>
        <xdr:cNvPr id="429" name="ID_413CD7C0FCA94F8C9CD747158CCFE407" descr=" "/>
        <xdr:cNvPicPr/>
      </xdr:nvPicPr>
      <xdr:blipFill>
        <a:blip r:embed="rId421"/>
        <a:srcRect/>
        <a:stretch>
          <a:fillRect/>
        </a:stretch>
      </xdr:blipFill>
      <xdr:spPr>
        <a:xfrm>
          <a:off x="1657350" y="58411112"/>
          <a:ext cx="1524000" cy="2162172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30" name="ID_25D7CF1F495249CE932D8E7290A2C446" descr=" "/>
        <xdr:cNvPicPr/>
      </xdr:nvPicPr>
      <xdr:blipFill>
        <a:blip r:embed="rId422"/>
        <a:srcRect/>
        <a:stretch>
          <a:fillRect/>
        </a:stretch>
      </xdr:blipFill>
      <xdr:spPr>
        <a:xfrm>
          <a:off x="3162300" y="6812280"/>
          <a:ext cx="1447800" cy="56134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</etc:cellImage>
  <etc:cellImage>
    <xdr:pic>
      <xdr:nvPicPr>
        <xdr:cNvPr id="431" name="ID_978707BC054C44E9BFC3ECBC90EBEB89" descr=" "/>
        <xdr:cNvPicPr/>
      </xdr:nvPicPr>
      <xdr:blipFill>
        <a:blip r:embed="rId423"/>
        <a:srcRect/>
        <a:stretch>
          <a:fillRect/>
        </a:stretch>
      </xdr:blipFill>
      <xdr:spPr>
        <a:xfrm>
          <a:off x="1722755" y="36859844"/>
          <a:ext cx="2526030" cy="2512060"/>
        </a:xfrm>
        <a:prstGeom prst="rect">
          <a:avLst/>
        </a:prstGeom>
        <a:noFill/>
        <a:ln>
          <a:noFill/>
        </a:ln>
        <a:effectLst/>
      </xdr:spPr>
    </xdr:pic>
  </etc:cellImage>
</etc:cellImages>
</file>

<file path=xl/sharedStrings.xml><?xml version="1.0" encoding="utf-8"?>
<sst xmlns="http://schemas.openxmlformats.org/spreadsheetml/2006/main" count="2183" uniqueCount="805">
  <si>
    <t>序号</t>
  </si>
  <si>
    <t>产品名称</t>
  </si>
  <si>
    <t>规格</t>
  </si>
  <si>
    <t>数量</t>
  </si>
  <si>
    <t>单位</t>
  </si>
  <si>
    <t>单价（元）</t>
  </si>
  <si>
    <t>合计（元）</t>
  </si>
  <si>
    <t>制造商名称</t>
  </si>
  <si>
    <t>品牌</t>
  </si>
  <si>
    <t>提供产品图片</t>
  </si>
  <si>
    <t>纽扣</t>
  </si>
  <si>
    <t>1.材质：塑料
2.规格：直径3cm圆形10个、花形10个
        直径2.5cm圆形10个、花形10个、
        蝴蝶形10个
3.数量：50个/套</t>
  </si>
  <si>
    <t>套</t>
  </si>
  <si>
    <t>南京康轩文教图书有限公司</t>
  </si>
  <si>
    <t>小康轩</t>
  </si>
  <si>
    <t>3cm颜色骰子（红蓝绿各2面）</t>
  </si>
  <si>
    <t xml:space="preserve">1.规格：3cm*3cm*3cm
2.材质：荷木
</t>
  </si>
  <si>
    <t>个</t>
  </si>
  <si>
    <t>长方形木块</t>
  </si>
  <si>
    <t>1.材质：松木
2.规格：直径6cm*宽2.5cm*厚0.8cm
3.颜色：原木色
4.数量：30个/套</t>
  </si>
  <si>
    <t>黄花棋子</t>
  </si>
  <si>
    <t xml:space="preserve">1.规格：φ3.5cm
2.材质：灰板，厚0.2cm
</t>
  </si>
  <si>
    <t>仿真小书</t>
  </si>
  <si>
    <t>1.材质：封面200g铜版，内页100g双胶
2.规格：长9cm*宽7cm
3.数量：9本/套</t>
  </si>
  <si>
    <t>骰子</t>
  </si>
  <si>
    <t>1.材质：木质
2.规格：边长2cm
3.颜色：原木色
4.数量：1个</t>
  </si>
  <si>
    <t>长板①</t>
  </si>
  <si>
    <t xml:space="preserve">1.材质：新西兰松
2.规格：40*10*2.5cm
</t>
  </si>
  <si>
    <t>块</t>
  </si>
  <si>
    <t>车身轧型</t>
  </si>
  <si>
    <t xml:space="preserve">1.材质：五层加强纸箱板，轧型
2.规格：在100*70cm的纸箱板上轧型，车身55*30cm
3.颜色：正1反0
4.工艺：轧型取下包装入库，形状规整、无毛边、轧型处不开裂、质地结实，不易变形
</t>
  </si>
  <si>
    <t>自封袋</t>
  </si>
  <si>
    <t>1.材质：自封袋
2.規格：47cm*33cm
4.其他：发行协助贴标①</t>
  </si>
  <si>
    <t>小熊卡片</t>
  </si>
  <si>
    <t>1.材质：250g白卡
2.规格：长10.5cm*宽9cm
3.数量：4张/套</t>
  </si>
  <si>
    <t>比例熊</t>
  </si>
  <si>
    <t xml:space="preserve">1.规格：
迷你：1.3cm*2.3cm*1cm、小号：2.4cm*2.9cm*1.2cm、
中号：2.9cm*3.4cm*1.5cm、大号：3.3cm*4cm*1.7cm
2.材质：塑料（红、黄、蓝、绿四色）
</t>
  </si>
  <si>
    <t>圆环</t>
  </si>
  <si>
    <t xml:space="preserve">1.材质：新西兰松
2.规格：外直径20*厚5cm
</t>
  </si>
  <si>
    <t>蝶形螺丝</t>
  </si>
  <si>
    <t xml:space="preserve">1.材质：PC料      
2.规格：螺母直径1.6cm，洞口直径0.5cm，螺丝长1.5cm
3.颜色：透明色
</t>
  </si>
  <si>
    <t>木锤</t>
  </si>
  <si>
    <t xml:space="preserve">1.规格：锤头长4.3cm，φ2cm；锤柄长13.7cm，φ0.5cm
2.材质：榉木
</t>
  </si>
  <si>
    <t>收纳箱</t>
  </si>
  <si>
    <r>
      <rPr>
        <sz val="10"/>
        <rFont val="宋体"/>
        <charset val="134"/>
      </rPr>
      <t>1.材质：塑料
2.规格：60*40*34</t>
    </r>
    <r>
      <rPr>
        <sz val="10"/>
        <rFont val="宋体"/>
        <charset val="134"/>
      </rPr>
      <t>cm</t>
    </r>
  </si>
  <si>
    <t>半圆木块</t>
  </si>
  <si>
    <t>1.材质：松木
2.规格：直径3cm*高1.5cm*厚0.8cm
3.颜色：原木色
4.数量：10个/套</t>
  </si>
  <si>
    <t>水写笔</t>
  </si>
  <si>
    <t xml:space="preserve">1.材质：塑料
2.规格：长11.5cm
3.颜色：白色笔杆
</t>
  </si>
  <si>
    <t>支</t>
  </si>
  <si>
    <t>B3·12游戏卡</t>
  </si>
  <si>
    <t xml:space="preserve">1.规格：14cm*21cm
2.材质：250g/m²白卡对裱 
</t>
  </si>
  <si>
    <t>顶梁</t>
  </si>
  <si>
    <t xml:space="preserve">1.材质：新西兰松
2.规格：长100*宽7*厚5cm
</t>
  </si>
  <si>
    <t>棋子</t>
  </si>
  <si>
    <t xml:space="preserve">1.材质：木质
2.规格：高3cm*底部直径1.5cm
3.颜色：（红色1个，黄色1个）/套
</t>
  </si>
  <si>
    <t>厨具</t>
  </si>
  <si>
    <t xml:space="preserve">1.材质：塑料 
2.規格：33.5*16.5*30cm，内含主体1套+厨具1套（内含子件同样品）
3.颜色：粉色
4.工艺：去商标，形状规整、无毛边、边缘光滑、质地结实
</t>
  </si>
  <si>
    <t>长方形洞洞板6</t>
  </si>
  <si>
    <t>1.材质：椴木夹板
2.规格：长22cm*宽11cm*厚0.5cm
3.数量：1个</t>
  </si>
  <si>
    <t>编织器4</t>
  </si>
  <si>
    <t>1.材质：榉木
2.规格：直径14cm*厚1cm
3.数量：1个</t>
  </si>
  <si>
    <t>游戏实施方案</t>
  </si>
  <si>
    <t xml:space="preserve">1.规格：18.5cm*26cm
2.材质：封面157g铜版纸，覆膜，内页80g双胶纸
</t>
  </si>
  <si>
    <t>本</t>
  </si>
  <si>
    <t>桌游底纸</t>
  </si>
  <si>
    <t>1.材质：200g铜板
2.规格：直径60cm的圆形
3.数量：1张</t>
  </si>
  <si>
    <t>张</t>
  </si>
  <si>
    <t>记录板</t>
  </si>
  <si>
    <t xml:space="preserve">1.材质：1.5灰板
2.规格：长18cm*宽12cm
</t>
  </si>
  <si>
    <t>游戏卡片</t>
  </si>
  <si>
    <t>1.材质：250g白卡
2.规格：长9cm*宽7cm
3.数量：8张/套</t>
  </si>
  <si>
    <t>长方块②</t>
  </si>
  <si>
    <t xml:space="preserve">1.材质：新西兰松
2.规格：20*10*2.5cm
</t>
  </si>
  <si>
    <t>马甲</t>
  </si>
  <si>
    <t xml:space="preserve">1.材质：涤纶（不要反光）
2.规格：40cm*43cm左右（同样品）
3.颜色：黄色
4.工艺：衣领处缝制logo，无毛边、无线头、锁边、针脚整齐
</t>
  </si>
  <si>
    <t>木质棋子</t>
  </si>
  <si>
    <t xml:space="preserve">1.材质：木质     
2.规格：直径2cm*高4cm
3.颜色：红色、黄色各1个
</t>
  </si>
  <si>
    <t>长方形洞洞板3</t>
  </si>
  <si>
    <t>两洞长板</t>
  </si>
  <si>
    <t>1.材质：新西兰松
2.规格：60*10*2.5cm</t>
  </si>
  <si>
    <t>圆形木块</t>
  </si>
  <si>
    <t>1.材质：松木
2.规格：直径3cm*厚0.8cm
3.颜色：原木色
4.数量：10个/套</t>
  </si>
  <si>
    <t>收银机</t>
  </si>
  <si>
    <t>1.材质：塑料
2.规格：长18.5cm*宽7.5cm*高11.5cm
3.数量：套（含银行卡、插牌）</t>
  </si>
  <si>
    <t>多孔直木条</t>
  </si>
  <si>
    <t xml:space="preserve">
1.规格：木条宽2.5cm、厚0.9cm，木条长：七孔27cm、六孔23cm、五孔19cm、四孔15cm、三孔11cm、二孔7cm，所有圆孔内φ1.3cm
2.材质：榉木
</t>
  </si>
  <si>
    <t>鹦鹉翅膀</t>
  </si>
  <si>
    <t xml:space="preserve">1.材质：羽毛
2.規格：长65cm*宽35cm
3.颜色：绿色
4.工艺：羽毛整齐，无胶水结点、无线头
</t>
  </si>
  <si>
    <t>B3·9游戏卡</t>
  </si>
  <si>
    <t xml:space="preserve">1.规格：18.8cm*17.8cm
2.材质：250g/m²白卡对裱
</t>
  </si>
  <si>
    <t>长方形洞洞板2</t>
  </si>
  <si>
    <t>1.材质：椴木夹板
2.规格：长4.4cm*宽2.2cm*厚0.5cm
3.颜色：原木色
4.数量：10个/套</t>
  </si>
  <si>
    <t>规律接龙骨牌</t>
  </si>
  <si>
    <t xml:space="preserve">1.规格：5.5cm*3cm*0.8cm
2.材质：榉木
</t>
  </si>
  <si>
    <t>编织器6</t>
  </si>
  <si>
    <t>1.材质：椴木夹板
2.规格：长20*宽8cm*厚1cm
3.数量：1个</t>
  </si>
  <si>
    <t>类别卡片</t>
  </si>
  <si>
    <t>1.材质：250g白卡
2.规格：长9cm*宽7cm
3.数量：4张/套</t>
  </si>
  <si>
    <t>12色毛线</t>
  </si>
  <si>
    <t>1.材质：普通毛线
2.规格：14.5g/卷（12卷约174g)
3.数量：12卷/套</t>
  </si>
  <si>
    <t>鞋带1</t>
  </si>
  <si>
    <t>1.材质：布质
2.规格：长120cm
3.数量：6根/套</t>
  </si>
  <si>
    <t>百宝箱游戏卡片</t>
  </si>
  <si>
    <t>1.材质：200g铜版 
2.规格：长26.5cm*宽26.5cm
3.数量：7张/套</t>
  </si>
  <si>
    <t>蜜蜂头饰</t>
  </si>
  <si>
    <t xml:space="preserve">1.材质：EVA
2.規格：19*17cm
3.颜色：同样品
4.工艺：无溢胶、无异味、切割整齐、无变形、无色差、动物形象鲜明。
</t>
  </si>
  <si>
    <t>毛线</t>
  </si>
  <si>
    <t xml:space="preserve">1.材质：毛线
2.规格：20cm
3.颜色：白色30根，黄色20根
</t>
  </si>
  <si>
    <t>三角形木块</t>
  </si>
  <si>
    <t>1.材质：松木
2.规格：直径6cm*高5.3cm*厚0.8cm
3.颜色：原木色
4.数量：10个/套</t>
  </si>
  <si>
    <t>长方形洞洞板4</t>
  </si>
  <si>
    <t>一字起子</t>
  </si>
  <si>
    <t xml:space="preserve">
1.规格：长13cm,圆φ1.8cm
2.材质：荷木
</t>
  </si>
  <si>
    <t>穿越火线木盒</t>
  </si>
  <si>
    <t xml:space="preserve">1.材质：榉木                
2.规格：长27cm*宽6cm*高5cm
3.颜色：原木色
</t>
  </si>
  <si>
    <t>海绵</t>
  </si>
  <si>
    <t xml:space="preserve">1.材质：海绵
2.规格：长8*宽5*高3cm，长方体
3.颜色：黄色
4.工艺：形状规整、无毛边
</t>
  </si>
  <si>
    <t>小宝石</t>
  </si>
  <si>
    <t xml:space="preserve">1.规格：1.5cm*1.2cm*1cm 
2.材质：红色塑料
</t>
  </si>
  <si>
    <t>擀面杖</t>
  </si>
  <si>
    <t xml:space="preserve">1.材质：木质
2.规格：20*2.5CM（滚体中间长度10cm 滚体直径2.5CM 两边手柄：5CM ）
3.颜色：原木色
4.工艺：形状规整、无毛刺、边缘光滑不割手、无霉点、无裂痕
</t>
  </si>
  <si>
    <t>游戏底板</t>
  </si>
  <si>
    <t xml:space="preserve">1.材质：磁吸板        
2.规格：长28cm*宽21cm
</t>
  </si>
  <si>
    <t>等价符号图卡</t>
  </si>
  <si>
    <t>1.材质：1.5灰板
2.规格：长6cm*宽5cm
3.数量：3张/套</t>
  </si>
  <si>
    <t>形状等分转盘</t>
  </si>
  <si>
    <t xml:space="preserve">1.材质：1.5灰板
2.规格：长15.5cm*宽15.5cm  
</t>
  </si>
  <si>
    <t>红色鳄鱼夹</t>
  </si>
  <si>
    <t xml:space="preserve">1.材质：铁+绝缘线                
2.规格：长15cm
3.颜色：红色
</t>
  </si>
  <si>
    <t>游戏小书</t>
  </si>
  <si>
    <t xml:space="preserve">1.材质：封面2.0灰板，内页250g白卡对裱
2.规格：长19cm*宽17.5cm
</t>
  </si>
  <si>
    <t>吊车</t>
  </si>
  <si>
    <t xml:space="preserve">1.规格：总长14cm*宽10cm*高22cm（可拆分），总绳长35cm，轮胎直径1.9cm。拆分后，上半部分长14cm*宽6.5cm*高13cm（含长1cm、φ0.9cm的嵌入口）；下半部分长9.9cm*宽9cm*9.3cm,有φ0.9cm、深1.4cm的圆孔凹槽，以便上半部分卡入。磁铁直径1.2cm
2.材质：榉木+荷木+密度板+磁铁
</t>
  </si>
  <si>
    <t>扣环</t>
  </si>
  <si>
    <t xml:space="preserve">1.材质：塑料
2.规格：内径2.8cm  
3.颜色：蓝色                
</t>
  </si>
  <si>
    <t>软尺</t>
  </si>
  <si>
    <t>1.材质：塑料
2.规格：长150cm*宽2cm
3.数量：1个</t>
  </si>
  <si>
    <t>电笔套装</t>
  </si>
  <si>
    <t xml:space="preserve">1.材质：塑料                 
2.规格：电池盒长5.6cm*宽3cm，把手长10.8cm
3.颜色：电池盒黑色，把手黑色、红色随机
</t>
  </si>
  <si>
    <t>长方形螺帽</t>
  </si>
  <si>
    <t xml:space="preserve">
1.规格：长3cm*宽2.5cm*高0.9cm，圆孔内φ1.3cm
2.材质：荷木
</t>
  </si>
  <si>
    <t>长方块①</t>
  </si>
  <si>
    <t xml:space="preserve">1.材质：新西兰松
2.规格：20*5*2.5cm
</t>
  </si>
  <si>
    <t>钉子板套装</t>
  </si>
  <si>
    <t>1.材质：木质+金属
2.规格：长15cm*宽15cm*厚1.5cm
（含皮筋）</t>
  </si>
  <si>
    <t xml:space="preserve">1.材质：塑料
2.规格：24*10*22cm 
3.颜色：彩色
4.工艺：去商标，形状规整，无毛边，边缘光滑，质地结实
</t>
  </si>
  <si>
    <t>圆形纸盘</t>
  </si>
  <si>
    <t xml:space="preserve">1.材质：纸质
2.规格：圆形，直径15cm
3.颜色：白色
4.工艺：形状规整、无毛边
</t>
  </si>
  <si>
    <t>EVA花朵1</t>
  </si>
  <si>
    <t xml:space="preserve">1.材质：YYPA（货号：DD3407）
2.規格：长17cm*高6cm*厚度0.2cm   
3.颜色：同样品
4.工艺：无溢胶、无异味、切割整齐、无变形、无色差。
5.数量：20个/套  </t>
  </si>
  <si>
    <t>游戏卡</t>
  </si>
  <si>
    <t>1.材质：300g白卡
2.规格：长7cm*宽5cm
3.数量：52个/套</t>
  </si>
  <si>
    <t>幕布</t>
  </si>
  <si>
    <t>1.材质：布质
2.規格：110*145cm
3.颜色：蓝色
4.工艺：剪裁整齐、无色差、无毛边、针脚密度统一、无线头、锁边，长边角处缝制logo，（logo高1.5cm）</t>
  </si>
  <si>
    <t>安全镜</t>
  </si>
  <si>
    <t xml:space="preserve">1.材质：软镜子
2.規格：直径12cm，厚1mm
3.颜色：同样品
4.工艺：边缘平整，无折痕
</t>
  </si>
  <si>
    <t>绣绷2</t>
  </si>
  <si>
    <t>1.材质：塑料
2.规格：直径15cm
3.数量：2个/套</t>
  </si>
  <si>
    <t>滚铁环套装</t>
  </si>
  <si>
    <t>1.材质：塑料
2.規格：直径33cm
3.颜色：红色
4.工艺：边缘平整，无异味
5.数量：滚圈1个+手柄1个=1套</t>
  </si>
  <si>
    <t>任务卡片</t>
  </si>
  <si>
    <t>1.材质：250g白卡
2.规格：长9cm*宽7cm
3.数量：12张/套</t>
  </si>
  <si>
    <t>沙漏</t>
  </si>
  <si>
    <t xml:space="preserve">1.材质：塑料+沙子     
2.规格：高8.6cm，30秒
3.颜色：黄色
</t>
  </si>
  <si>
    <t>小球走迷宫底纸</t>
  </si>
  <si>
    <t>1.材质：300g铜版
2.规格：长27.8cm*宽20.8cm
3.数量：12张/套</t>
  </si>
  <si>
    <t>图形骰子</t>
  </si>
  <si>
    <t xml:space="preserve">1.规格：2cm*2cm*2cm
2.材质：荷木
</t>
  </si>
  <si>
    <t>大型户外游戏活动实施方案</t>
  </si>
  <si>
    <t xml:space="preserve">1.规格：16开
2.材质：纸质，封面157g的铜版纸，内页80g的双胶纸
</t>
  </si>
  <si>
    <t>护眼游戏棋套装（游戏底板）</t>
  </si>
  <si>
    <t>1.材质：1.5灰板
2.规格：长42cm*宽28cm
3.数量：1套</t>
  </si>
  <si>
    <t>任务小书</t>
  </si>
  <si>
    <t>1.材质：250g白卡
2.规格：长14cm*宽10cm
3.数量：8张/套</t>
  </si>
  <si>
    <t>外箱说明牌</t>
  </si>
  <si>
    <t>1.材质：PVC 贴纸
2.规格：长18.5cm*宽7cm
3.数量：1张</t>
  </si>
  <si>
    <t>绣帕4</t>
  </si>
  <si>
    <t>1.材质：棉布
2.规格：直径20cm 
3.数量：2个/套</t>
  </si>
  <si>
    <t>点子骰子</t>
  </si>
  <si>
    <t xml:space="preserve">1.材质：木质
2.规格：长2.5cm*宽2.5cm*高2.5cm
3.颜色：原木底色黑字
</t>
  </si>
  <si>
    <t>外盒</t>
  </si>
  <si>
    <t>1.材质：180g灰卡
2.规格：45*31*16cm
3.工艺：裱E瓦
4.印刷：正四反零
5.其他：飞机盒</t>
  </si>
  <si>
    <t>串铃</t>
  </si>
  <si>
    <t xml:space="preserve">1.材质：金属+木质
2.規格：18cm长
3.颜色：原木色+彩色
4.工艺：刷三层清漆、无毛刺、磨圆角、无霉变、无色差、金属平滑。
</t>
  </si>
  <si>
    <t>魔术贴</t>
  </si>
  <si>
    <t xml:space="preserve">1.材质：尼龙+强力背胶
2.规格：直径1.5cm
3.颜色：白色
</t>
  </si>
  <si>
    <t>面条转盘</t>
  </si>
  <si>
    <t>1.材质：1.5灰板
2.规格：直径16cm
3.数量：1个</t>
  </si>
  <si>
    <t>护眼游戏棋套装（游戏卡）</t>
  </si>
  <si>
    <t>1.材质：1.5灰板
2.规格：长4.5cm*宽3cm
3.数量：14张/套</t>
  </si>
  <si>
    <t>购物车</t>
  </si>
  <si>
    <t xml:space="preserve">1.材质：金属+塑料       
2.规格：长10cm*宽8cm*高12cm
</t>
  </si>
  <si>
    <t>手腕花</t>
  </si>
  <si>
    <t>1.材质：布
2.規格：皮筋直径4cm，皮筋粗0.3cm
3.颜色：红色、蓝色
4.工艺：针线整齐，无线头
5.数量：（红色、蓝色）</t>
  </si>
  <si>
    <t>孵蛋器套装</t>
  </si>
  <si>
    <t>1.材质：塑料
2.规格：直径16cm*高16cm
3.数量：1套</t>
  </si>
  <si>
    <t>正方形木块</t>
  </si>
  <si>
    <t>1.材质：松木
2.规格：长6cm*宽6cm*厚0.8cm
3.颜色：原木色
4.数量：10个/套</t>
  </si>
  <si>
    <t>剂子</t>
  </si>
  <si>
    <t>1.材质：塑料PE
2.规格：长9.2cm*宽6.5cm
3.颜色：白色
4.数量：1个</t>
  </si>
  <si>
    <t>点读底纸</t>
  </si>
  <si>
    <t xml:space="preserve">1.材质：300g铜版              
2.规格：长28cm*宽21cm
</t>
  </si>
  <si>
    <t>拼插件</t>
  </si>
  <si>
    <t>1.材质：ABSYYP
2.规格：1.3cm*1cm*2cm
3.颜色：黄色
4.数量：50对（100个）/套（2袋公母分装）</t>
  </si>
  <si>
    <t>绣线</t>
  </si>
  <si>
    <t>1.材质：涤棉
2.规格：每根线长8m
3.数量：1套</t>
  </si>
  <si>
    <t>充气足球</t>
  </si>
  <si>
    <t xml:space="preserve">1.材质：塑料
2.規格：直径15cm
3.颜色：绿色
4.工艺：边缘平整，无异味，不漏气
</t>
  </si>
  <si>
    <t>话筒</t>
  </si>
  <si>
    <t xml:space="preserve">1.材质：塑料
2.规格：长15cm*直径5cm
3.颜色：橙色
</t>
  </si>
  <si>
    <t>牛套装</t>
  </si>
  <si>
    <t xml:space="preserve">1.材质：布制
2.規格：头箍高13cm*宽11cm，领结：12.5*9.5cm左右，尾巴：28cm左右
3.颜色：棕色（头箍1个+领结1个+尾巴1个）
4.工艺：剪裁整齐、无毛边、无线头、锁边、针脚密度统一、无溢胶。
</t>
  </si>
  <si>
    <t>冰箱卡</t>
  </si>
  <si>
    <t>1.材质：300g白卡
2.规格：长14cm*宽10cm
3.数量：1张</t>
  </si>
  <si>
    <t>动物棋子</t>
  </si>
  <si>
    <t xml:space="preserve">1.规格：φ7cm
2.材质：灰板，厚0.15cm
</t>
  </si>
  <si>
    <t>人物卡片</t>
  </si>
  <si>
    <t>1.材质：250g白卡
2.规格：长9cm*宽7cm
3.数量：6张/套</t>
  </si>
  <si>
    <t>护士服套装</t>
  </si>
  <si>
    <t xml:space="preserve">1.材质：棉布
2.规格：110cm，样式、材质同大班
3.颜色：粉色
4.工艺：左内侧缝制logo，无毛边线头、锁边、针脚整齐，红十字标志需锁边，针脚整齐
</t>
  </si>
  <si>
    <t>对错牌</t>
  </si>
  <si>
    <t>1.材质：三合板
2.规格：长20cm*宽10cm*厚0.2cm
3.数量：1个</t>
  </si>
  <si>
    <t>毛巾</t>
  </si>
  <si>
    <t xml:space="preserve">1.材质：棉质      
2.规格：20*20cm
3.颜色：天蓝色
4.工艺：去商标，无毛边线头、锁边、针脚整齐
</t>
  </si>
  <si>
    <t>理发工具套装</t>
  </si>
  <si>
    <t xml:space="preserve">1.材质：塑料        
2.规格：梳子：10*5cm；吹风机：14.5*15cm；理发剪：14.5*3cm；吹风机、梳子、理发剪、夹子等7个/套（内含子件同样品）
3.颜色：玫红
4.工艺：去商标，形状规整、无毛边、边缘光滑、质地结实、不易开裂
</t>
  </si>
  <si>
    <t>纸盒</t>
  </si>
  <si>
    <t xml:space="preserve">1.材质：180g灰卡
2.规格：45*31*16cm
3.工艺：裱E瓦
4.印刷：正四反零
5.其他：飞机盒
</t>
  </si>
  <si>
    <t>大灰狼头饰</t>
  </si>
  <si>
    <t xml:space="preserve">1.材质：EVA
2.規格：19*17cm
3.颜色：同样品
4.工艺：无溢胶、无异味、切割整齐、无变形、无色差、动物形象鲜明。
</t>
  </si>
  <si>
    <t>B3·1说明书</t>
  </si>
  <si>
    <t xml:space="preserve">1.规格：26cm*18.5cm
2.材质：300g/m²铜版纸
</t>
  </si>
  <si>
    <t>扣眼圆片</t>
  </si>
  <si>
    <t xml:space="preserve">1.规格：大号φ6cm。中号φ4.5cm。小号φ3.3cm
2.材质：不织布，厚2mm，橘色、蓝色、黄色
</t>
  </si>
  <si>
    <t>B3·10游戏底板</t>
  </si>
  <si>
    <t xml:space="preserve">1.规格：42cm*42cm*厚0.2cm
2.材质：灰板  
</t>
  </si>
  <si>
    <t>塑料盒</t>
  </si>
  <si>
    <t>1.材质：pp透明收纳盒
2.规格：长11cm*宽9cm*高3cm
3.数量：1个</t>
  </si>
  <si>
    <t>1</t>
  </si>
  <si>
    <t>正方形洞洞板2</t>
  </si>
  <si>
    <t>1.材质：椴木夹板
2.规格：长11cm*宽11cm*厚0.5cm
3.数量：2个/套</t>
  </si>
  <si>
    <t>记录卡片</t>
  </si>
  <si>
    <t>1.材质：250g白卡 
2.规格：长21cm*宽14cm
3.数量：2张/套</t>
  </si>
  <si>
    <t>描画游戏图卡</t>
  </si>
  <si>
    <t>1.材质：双雾面珠光膜
2.规格：长17cm*宽18cm
3.数量：6张/套</t>
  </si>
  <si>
    <t>货架底板</t>
  </si>
  <si>
    <t xml:space="preserve">1.材质：木质
2.规格：长20cm*高17cm*厚1cm
3.颜色：原木色
</t>
  </si>
  <si>
    <t>安全小卫士（小书）</t>
  </si>
  <si>
    <t>1.材质：封面2.0灰板，内页300g白卡
2.规格：长19cm*宽17.5cm
3.数量：1本</t>
  </si>
  <si>
    <t>玩偶</t>
  </si>
  <si>
    <t xml:space="preserve">1.材质：塑料（带头发，自带一件衣服，衣服可脱穿）
2.規格：身长30cm           
3.颜色：女孩玩偶，肤色，衣服为蓝、粉、黄色各1个
4.工艺：去商标，形状规整、无毛边、边缘光滑，形象可爱，服饰无线头毛边
</t>
  </si>
  <si>
    <t>屋顶板</t>
  </si>
  <si>
    <t xml:space="preserve">1.材质：新西兰松
2.规格：长61*宽20*厚2cm；中间2个卡口分别长5*深1cm，2个卡口的边距位置平均
</t>
  </si>
  <si>
    <t>美味旅程拼图</t>
  </si>
  <si>
    <t xml:space="preserve">1.规格：盒盖盖上的尺寸为29cm*20.2cm*0.8cm；
盒盖展开，底板尺寸为29cm*20cm*0.5cm，盒盖尺寸为29cm*20.2cm*0.2cm，盒脊尺寸为高0.7cm,内置拼图尺寸为27cm*18cm*厚0.2cm,内置情景图卡尺寸为27cm*18cm（300g/m²铜版纸）
2.材质：盒子材质为灰板+磁片+铁片，内置拼图材质为0.2cm厚灰板，内置情景图卡为300g/m²铜版纸
</t>
  </si>
  <si>
    <t>图卡底座</t>
  </si>
  <si>
    <t xml:space="preserve">1.材质：木质
2.规格：长14.5cm*宽2cm*高1.5cm
3.颜色：原木色
</t>
  </si>
  <si>
    <t>泡沫棒</t>
  </si>
  <si>
    <t xml:space="preserve">1.材质：EPE泡沫游戏棒
2.规格：1根棒（直径3.8厘米左右~长度1米）+1个接口（2通连接器：直径3.8厘米左右~长度0.15米）
3.颜色：蓝色、绿色、黄色
4.工艺：发泡均匀，质地结实，弯折不易断裂，接口与主体匹配，不易脱落
</t>
  </si>
  <si>
    <t>商品图卡</t>
  </si>
  <si>
    <t xml:space="preserve">1.材质：1.5灰板
2.规格：长28cm*宽21cm
</t>
  </si>
  <si>
    <t>鞋带（60cm）</t>
  </si>
  <si>
    <t xml:space="preserve">1.规格：60cm，φ约0.3cm
2.材质：尼龙+塑料收口
</t>
  </si>
  <si>
    <t>红花棋子</t>
  </si>
  <si>
    <t>送小球回家底纸</t>
  </si>
  <si>
    <t>1.材质：300g铜版
2.规格：长27.8cm*宽20.8cm
3.数量：6张/套</t>
  </si>
  <si>
    <t>塑料笔杆</t>
  </si>
  <si>
    <t xml:space="preserve">1.规格：长10cm，φ0.8cm
2.材质：塑料
</t>
  </si>
  <si>
    <t>蓝色半透明塑料箱(36cm*27cm*10cm)</t>
  </si>
  <si>
    <t xml:space="preserve">1.规格：盒盖外径尺寸35.8cm*27.8cm*1.5cm，塑料厚度0.16cm，箱子尺寸36cm*27cm*10cm，塑料厚度0.15cm
2.材质：盒盖ABS，箱子塑料PP
</t>
  </si>
  <si>
    <t>音乐曲谱</t>
  </si>
  <si>
    <t>1.材质：157g铜版纸
2.规格：28cm*42cm
3.印刷：正4反4
4.数量：7张/套，</t>
  </si>
  <si>
    <t>认读换算图卡</t>
  </si>
  <si>
    <t>1.材质：250g白卡
2.规格：长21cm*宽14cm
3.数量：6张/套</t>
  </si>
  <si>
    <t>对称图形游戏卡</t>
  </si>
  <si>
    <t>1.材质：250g白卡
2.规格：长14cm*宽13.6cm  
3.数量：5张/套</t>
  </si>
  <si>
    <t>小篮子</t>
  </si>
  <si>
    <t xml:space="preserve">1.材质：塑料
2.规格：底部长6cm*宽3.5cm*高3.4cm
3.颜色：橙色
</t>
  </si>
  <si>
    <t>定时器</t>
  </si>
  <si>
    <t xml:space="preserve">1.材质：不锈钢+ABS
2.规格：直径6cm*厚3cm
</t>
  </si>
  <si>
    <t>乌鸦翅膀</t>
  </si>
  <si>
    <t xml:space="preserve">1.材质：羽毛
2.規格：长65cm*宽35cm 
3.颜色：黑色
4.工艺：羽毛整齐，无胶水结点、无线头
</t>
  </si>
  <si>
    <t>矩形中空①</t>
  </si>
  <si>
    <t xml:space="preserve">1.材质：新西兰松
2.规格：20*20*10cm
</t>
  </si>
  <si>
    <t xml:space="preserve">1.材质：塑料+沙子
2.规格：高8.6cm，时间60秒
3.颜色：蓝色
</t>
  </si>
  <si>
    <t>塑料底座</t>
  </si>
  <si>
    <t xml:space="preserve">1.材质：塑料
2.规格：直径2cm
3.颜色：白色
</t>
  </si>
  <si>
    <t>搓衣板</t>
  </si>
  <si>
    <t xml:space="preserve">1.材质：塑料        
2.规格：31.5*16.5cm
3.颜色：黄、粉、蓝
4.工艺：去商标，形状规整、无毛边、边缘光滑、质地结实、不易开裂
</t>
  </si>
  <si>
    <t>拼块游戏卡</t>
  </si>
  <si>
    <t>1.材质：250g白卡
2.规格：长12cm*宽10cm
3.数量：10张/套</t>
  </si>
  <si>
    <t>安全针（大号）</t>
  </si>
  <si>
    <t>1.材质：塑料
2.规格：长约15cm
3.数量：4个/套</t>
  </si>
  <si>
    <t>转盘支架</t>
  </si>
  <si>
    <t xml:space="preserve">1.材质：2.0灰板
2.规格：长34.5cm*宽10cm
</t>
  </si>
  <si>
    <t>五彩翅膀</t>
  </si>
  <si>
    <t xml:space="preserve">1.材质：羽毛
2.規格：长65cm*宽35cm 
3.颜色：五彩
4.工艺：羽毛整齐，无胶水结点、无线头
</t>
  </si>
  <si>
    <t>菜单卡</t>
  </si>
  <si>
    <t>可擦白板笔</t>
  </si>
  <si>
    <t xml:space="preserve">1.材质：塑料
2.规格：长11cm
</t>
  </si>
  <si>
    <t>幼儿园户外活动整体方案</t>
  </si>
  <si>
    <t xml:space="preserve">1.规格：16开
2.材质：纸质，封面157g的铜版纸，内页80g的双胶纸
</t>
  </si>
  <si>
    <t>记录卡</t>
  </si>
  <si>
    <t>1.材质：250g白卡
2.规格：长14cm*宽10cm
3.数量：2张/套</t>
  </si>
  <si>
    <t>编织器1</t>
  </si>
  <si>
    <t>1.材质：榉木
2.规格：直径8cm*厚1cm
3.数量：1个</t>
  </si>
  <si>
    <t>长板②</t>
  </si>
  <si>
    <t xml:space="preserve">1.材质：新西兰松
2.规格：100*10*2.5cm
</t>
  </si>
  <si>
    <t>编织器5</t>
  </si>
  <si>
    <t>1.材质：椴木夹板
2.规格：长22*宽16.8cm*厚1cm
3.数量：1个</t>
  </si>
  <si>
    <t>缝纫机套装</t>
  </si>
  <si>
    <t>1.材质：塑料
2.规格：长17.5cm*宽8.8cm*高21cm
3.数量：1套</t>
  </si>
  <si>
    <t>点读笔外盒</t>
  </si>
  <si>
    <t xml:space="preserve">1.材质：三层瓦楞
2.规格：长27.5cm*宽20.5cm*高5cm
                                                                                                                                                                                   </t>
  </si>
  <si>
    <t>马口铁盒(12cm*9cm*4cm、黄)</t>
  </si>
  <si>
    <t xml:space="preserve">1.规格：12.3cm*9.2cm*高4cm
2.材质：马口铁
</t>
  </si>
  <si>
    <t>控笔游戏图卡</t>
  </si>
  <si>
    <t>1.材质：300g铜版
2.规格：长21cm*宽14cm
3.数量：6张/套</t>
  </si>
  <si>
    <t>商品木块</t>
  </si>
  <si>
    <t>1.材质：木质     
2.规格：长4cm*宽3cm*厚0.5cm
3.数量：45个/套</t>
  </si>
  <si>
    <t>收银机贴纸</t>
  </si>
  <si>
    <t xml:space="preserve">1.材质：80g不干胶
2.规格：长10cm*宽6cm
</t>
  </si>
  <si>
    <t>点读笔</t>
  </si>
  <si>
    <t xml:space="preserve">1.材质：塑料
2.规格：长16cm*宽4cm
3.颜色：蓝色
</t>
  </si>
  <si>
    <t>木质圆形轮胎</t>
  </si>
  <si>
    <t xml:space="preserve">
1.规格：直径4.6cm，厚1.8cm，圆孔内φ1.6cm
2.材质：荷木
</t>
  </si>
  <si>
    <t>坐姿练习垫</t>
  </si>
  <si>
    <t xml:space="preserve">1.材质：软PVC桌垫
2.规格：长60cm*宽40cm
3.颜色：彩色
</t>
  </si>
  <si>
    <t>老鼠帽</t>
  </si>
  <si>
    <t xml:space="preserve">1.材质：不织布
2.規格：头围40cm深8cm 
3.颜色：灰色
4.工艺：无溢胶、无异味、切割整齐、无变形、无色差、接线处牢固，动物整体形象鲜明。
</t>
  </si>
  <si>
    <t>1.材质：布
2.規格：皮筋直径4cm，皮筋粗0.3cm 
3.颜色：红色、白色、黄色
4.工艺：边缘平整，无异味，无毛边、无线头
5.数量：套（红色、白色、黄色各1个）</t>
  </si>
  <si>
    <t>交通工具木牌</t>
  </si>
  <si>
    <t xml:space="preserve">1.规格：5.5cm*3cm*0.8cm，金属φ0.4cm,位于木牌中心位置，距左右各2.5cm，距上1.3cm，距下1.2cm。
2.材质：榉木，轧圆角
3..数量：24个/套
</t>
  </si>
  <si>
    <t>吊杆</t>
  </si>
  <si>
    <t xml:space="preserve">1.规格：长21cm，圆φ1.8cm，绳长15cm，磁铁φ1.2cm
2.材质：榉木
</t>
  </si>
  <si>
    <t>B3·10兑换卡</t>
  </si>
  <si>
    <t xml:space="preserve">1.规格：21cm*14cm
2.材质：300g/m²铜版纸  
</t>
  </si>
  <si>
    <t>图卡</t>
  </si>
  <si>
    <t>1.材质：250g白卡对裱
2.规格：直径11cm
3.数量：5张/套</t>
  </si>
  <si>
    <t>孔雀羽毛</t>
  </si>
  <si>
    <t>1.材质：羽毛
2.規格：长25cm 
3.颜色：蓝绿色
4.工艺：羽毛整齐，无胶水结点、无线头
5.数量：15个/套</t>
  </si>
  <si>
    <t>我来照顾你磁吸板套装（1）</t>
  </si>
  <si>
    <t>1.材质：磁吸
2.规格：长28cm*宽21cm
3.数量：1个</t>
  </si>
  <si>
    <t>购物清单</t>
  </si>
  <si>
    <t>1.材质：250g白卡
2.规格：长14cm*宽10cm
3.数量：9张/套</t>
  </si>
  <si>
    <t>边角骰子</t>
  </si>
  <si>
    <t xml:space="preserve">1.材质：木质
2.规格：长2.5cm*宽2.5cm*高2.5cm
</t>
  </si>
  <si>
    <t>蝴蝶翅膀</t>
  </si>
  <si>
    <t>1.材质：网纱，塑料等
2.規格：翅膀45*35cm，发箍10*12cm  
3.颜色：红色、黄色、白色
4.工艺：边缘平整，无异味，无毛边、线头
5.数量：3套（红色、黄色、白色各1套）</t>
  </si>
  <si>
    <t>交警背心</t>
  </si>
  <si>
    <t>1.材质：涤纶YYP
2.规格：衣长49*宽40cm
3.颜色：荧光绿</t>
  </si>
  <si>
    <t>件</t>
  </si>
  <si>
    <t>积木造型游戏卡</t>
  </si>
  <si>
    <t>1.材质：250g白卡      
2.规格：长18cm*宽12.5cm
3.数量：15张/套</t>
  </si>
  <si>
    <t>颜色骰子（红黄蓝各2面）</t>
  </si>
  <si>
    <t xml:space="preserve">1.规格：2cm*2cm*2cm
2.材质：荷木 
</t>
  </si>
  <si>
    <t>B3·4游戏底板</t>
  </si>
  <si>
    <t xml:space="preserve">1.规格：42cm*42cm*0.3cm
2.材质：灰板，厚0.3cm
</t>
  </si>
  <si>
    <t>B3·16乐思维游戏卡</t>
  </si>
  <si>
    <t xml:space="preserve">1.规格：22.5cm*16.5cm
2.材质：300g/m²铜版纸
</t>
  </si>
  <si>
    <t>束口袋（25cm*18cm）</t>
  </si>
  <si>
    <t xml:space="preserve">1.规格：25cm*18cm
2.材质：米白帆布厚12安，拉绳材质为φ0.4cm粗的棉绳
</t>
  </si>
  <si>
    <t>视动游戏图卡</t>
  </si>
  <si>
    <t>方格棉麻布</t>
  </si>
  <si>
    <t xml:space="preserve">1.材质：棉麻 
2.规格：60*70cm 
3.颜色：红白大格子 
4.工艺：折边锁，无毛边线头、针脚整齐，无脱线 
</t>
  </si>
  <si>
    <t>点子骰子（点子1～3各2面）</t>
  </si>
  <si>
    <t>去游玩游戏毯</t>
  </si>
  <si>
    <t xml:space="preserve">1.材质：布质
2.规格：长50cm*宽40cm
</t>
  </si>
  <si>
    <t>圆棒③</t>
  </si>
  <si>
    <t xml:space="preserve">1.材质：新西兰松
2.规格：直径5*长60cm
</t>
  </si>
  <si>
    <t>塑料圆片</t>
  </si>
  <si>
    <t xml:space="preserve">1.材质：塑料（材质同暑期好好玩3中的塑料圆片）
2.规格：厚0.23cm，直径2.5cm
3.颜色：红、黄、蓝各15个
4.工艺：形状规整、无毛边、边缘光滑、颜色鲜艳
</t>
  </si>
  <si>
    <t>魔轮板</t>
  </si>
  <si>
    <t xml:space="preserve">1.规格：25.5cm*23cm*4cm
2.材质：ABS塑料（红+白）
</t>
  </si>
  <si>
    <t>操作板</t>
  </si>
  <si>
    <t xml:space="preserve">1.材质：榉木              
2.规格：底座长23.5cm*宽30.5cm
        棋子长3cm*宽4cm*厚0.5cm
3.颜色：原木色
</t>
  </si>
  <si>
    <t>今天我值日磁铁书套装（磁铁书）</t>
  </si>
  <si>
    <t>1.材质：软磁铁+250g白卡对裱
2.规格：长35cm*宽31.8cm
3.数量：1本</t>
  </si>
  <si>
    <t>积木配对游戏卡</t>
  </si>
  <si>
    <t>1.材质：250g白卡对裱     
2.规格：长14cm*宽13.6cm
3.数量：10张/套</t>
  </si>
  <si>
    <t>积分卡</t>
  </si>
  <si>
    <t>1.材质：300g白卡
2.规格：长4cm*宽3.8cm
3.数量：24个/套</t>
  </si>
  <si>
    <t>硅胶垫</t>
  </si>
  <si>
    <t>1.材质：硅胶
2.规格：长50cm*40cm
3.数量：1个</t>
  </si>
  <si>
    <t>房梁</t>
  </si>
  <si>
    <t xml:space="preserve">1.材质：新西兰松
2.规格：长100*宽5*厚3cm，中间2个卡口分别长5*深1cm，2个卡口的边距位置平均
</t>
  </si>
  <si>
    <t>挑战记录单</t>
  </si>
  <si>
    <t xml:space="preserve">1.材质：300g铜版
2.规格：长21cm*宽14cm
</t>
  </si>
  <si>
    <t>我来照顾你磁吸板套装（2）</t>
  </si>
  <si>
    <t>1.材质：磁吸
2.规格：长21cm*宽14cm
3.数量：1个</t>
  </si>
  <si>
    <t>说明书</t>
  </si>
  <si>
    <t>1.材质：300g铜版        
2.规格：长26cm*宽18.5cm
3.数量：8张/套</t>
  </si>
  <si>
    <t>叠叠乐木片</t>
  </si>
  <si>
    <t xml:space="preserve">1.规格：7.5cm*2.5cm*1.5cm
2.材质：榉木
</t>
  </si>
  <si>
    <t>三角铁</t>
  </si>
  <si>
    <t xml:space="preserve">1.材质：金属
2.規格：主体（边长15.5cm）、敲棒（长12cm）
3.颜色：不锈钢色
4.工艺：磨圆角、金属平滑、结构牢固、铃声响亮。 
</t>
  </si>
  <si>
    <t>啄木鸟头饰</t>
  </si>
  <si>
    <t>棋子组（红、蓝）</t>
  </si>
  <si>
    <t xml:space="preserve">1.规格：高4cm，底面φ2cm 
2.材质：荷木
</t>
  </si>
  <si>
    <t>职业骰子</t>
  </si>
  <si>
    <t xml:space="preserve">1.规格：3cm*3cm*3cm
2.材质：荷木
3.加工：刷清漆，磨圆角
</t>
  </si>
  <si>
    <t>嵌洞盒套装</t>
  </si>
  <si>
    <t xml:space="preserve">1.规格：
木盒外径长23.6cm*宽23.1cm*高3cm（开槽处需可放入亚克力板，盒内需可放入游戏卡,盒内径长22.1cm,宽21.6cm）
亚克力板长22.1cm*宽22.1cm*厚0.2cm
木质嵌丁总长2.5cm(丁丁部分长0.8cm)，直径1.4cm
2.材质：松木+亚克力板（木质嵌丁也是松木）
</t>
  </si>
  <si>
    <t>花鸡套装</t>
  </si>
  <si>
    <t xml:space="preserve">1.材质：布制 
2.规格：头箍高13cm*宽11cm，领结：12.5*9.5cm左右，尾巴：28cm左右
3.颜色：黑白花（头箍1个+领结1个+尾巴1个）
4.工艺：剪裁整齐、无毛边、无线头、锁边、针脚密度统一、无溢胶。
</t>
  </si>
  <si>
    <t xml:space="preserve">1.材质：木质
2.规格：长2.5cm*宽2.5cm*高2.5cm
3.颜色：原木底色黑字         
</t>
  </si>
  <si>
    <t xml:space="preserve">1.材质：封面157g铜版纸，内页80g双胶纸
2.规格：长26cm*宽18.5cm
</t>
  </si>
  <si>
    <t>十二面骰子</t>
  </si>
  <si>
    <t xml:space="preserve">1.规格：φ3cm
2.材质：塑料、白色
</t>
  </si>
  <si>
    <t>B3·7游戏卡</t>
  </si>
  <si>
    <t xml:space="preserve">1.规格：21.5cm*22cm 
2.材质：250g/m²白卡对裱        
</t>
  </si>
  <si>
    <t>丝带2</t>
  </si>
  <si>
    <t>1.材质：涤纶
2.规格：长50cm*宽2cm
3.颜色：灰色
4.数量：2个/套</t>
  </si>
  <si>
    <t>保利龙板</t>
  </si>
  <si>
    <t xml:space="preserve">1.材质：YYP
2.規格：直径15cm，厚2cm
3.颜色：白
4.工艺：边缘平整，无异味，无变形
</t>
  </si>
  <si>
    <t>一次性桌布</t>
  </si>
  <si>
    <t>1.材质：塑料                         
2.规格：140*140cm                  
3.颜色：白色
5.工艺：边缘平整，无异味</t>
  </si>
  <si>
    <t>1.材质：塑料
2.规格：直径2cm
3.颜色：白色
4.数量：2个/套</t>
  </si>
  <si>
    <t>B3·14游戏底板</t>
  </si>
  <si>
    <t xml:space="preserve">1.规格：21cm*14cm*厚4mm
2.材质：2mm厚灰板对裱
</t>
  </si>
  <si>
    <t>洞洞板</t>
  </si>
  <si>
    <t xml:space="preserve">1.材质：榉木
2.规格：长31cm*宽24cm*厚2.5cm
3.颜色：原木色
</t>
  </si>
  <si>
    <t>点读说明手册</t>
  </si>
  <si>
    <t xml:space="preserve">1.材质：80g双胶
2.规格：21*14cm
3.印刷：双色印刷 骑马钉
</t>
  </si>
  <si>
    <t>小狗头饰</t>
  </si>
  <si>
    <t>1.材质：250g白卡       
2.规格：长28cm*宽21cm
3.数量：10张/套</t>
  </si>
  <si>
    <t>黄色塑料盒</t>
  </si>
  <si>
    <t xml:space="preserve">1.材质：塑料      
2.规格：内径：长32.5cm*宽24.5cm*高8.5cm 
        外径：长36cm*宽27cm*高10cm 
</t>
  </si>
  <si>
    <t>白鸡套装</t>
  </si>
  <si>
    <t xml:space="preserve">1.材质：布制 
2.规格：头箍高13cm*宽11cm，领结：12.5*9.5cm左右，尾巴：28cm左右
3.颜色：白色（头箍1个+领结1个+尾巴1个）
4.工艺：剪裁整齐、无毛边、无线头、锁边、针脚密度统一、无溢胶。
</t>
  </si>
  <si>
    <t>医生工具箱套装</t>
  </si>
  <si>
    <t xml:space="preserve">1.材质：塑料
2.规格：30.5*24.5*5
内含：听诊器、体温计、针筒、胸牌、牙医器具3个、盒子、吸塑等，9件/套（内含子件同样品）
3.颜色：彩色
4.工艺：去商标，形状规整、无毛边、边缘光滑、质地结实，不易开裂
</t>
  </si>
  <si>
    <t>青蛙帽子</t>
  </si>
  <si>
    <t xml:space="preserve">1.材质：不织布 
2.規格：头围50cm 
3.颜色：绿色
4.工艺：无溢胶、无异味、切割整齐、无变形、无色差、接线处牢固，动物整体形象鲜明。
</t>
  </si>
  <si>
    <t>圆舞板</t>
  </si>
  <si>
    <t xml:space="preserve">1.材质：木质
2.規格：直径5.5cm
3.颜色：原木色
4.工艺：无毛刺、磨圆角、无霉变、绳头无线头、刷三层清漆。
</t>
  </si>
  <si>
    <t>转转积木</t>
  </si>
  <si>
    <t xml:space="preserve">1.材质：榉木                
2.规格：高17cm*直径13cm
</t>
  </si>
  <si>
    <t>大树头饰</t>
  </si>
  <si>
    <t xml:space="preserve">
游戏实施方案（含DVD）</t>
  </si>
  <si>
    <t xml:space="preserve">1.材质：双胶纸100g               
2.规格：185*260cm
3.颜色：正四反四
</t>
  </si>
  <si>
    <t>安全针（小号）</t>
  </si>
  <si>
    <t>1.材质：塑料
2.规格：长约7cm
3.数量：10个/套</t>
  </si>
  <si>
    <t>水消笔</t>
  </si>
  <si>
    <t>1.材质：塑料
2.规格：长14cm
3.数量：5个/套</t>
  </si>
  <si>
    <t>小猫头饰</t>
  </si>
  <si>
    <t>纸黏土</t>
  </si>
  <si>
    <t xml:space="preserve">1.材质：纸黏土
2.规格：200g/个
3.颜色：红、黄、蓝、白各1个
4.工艺：密封包装、纸黏土粘稠度适中
</t>
  </si>
  <si>
    <t>百宝箱点读游戏卡片</t>
  </si>
  <si>
    <t xml:space="preserve">1.材质：200g铜版 
2.规格：长26.5cm*宽26.5cm
</t>
  </si>
  <si>
    <t>1.材质：塑料笔杆+带可擦笔帽
2.规格：长约11cm
3.数量：2个/套</t>
  </si>
  <si>
    <t>游戏钱币</t>
  </si>
  <si>
    <t>1.材质：157g铜版
2.规格：长10cm*宽5cm
3.数量：110张/套</t>
  </si>
  <si>
    <t>1.材质：塑料
2.规格：内径2.8cm 
3.数量：2个/套</t>
  </si>
  <si>
    <t xml:space="preserve">1.材质：木质
2.规格：长2.5cm*宽2.5cm*高2.5cm
3.颜色：原木色
</t>
  </si>
  <si>
    <t>小弯曲</t>
  </si>
  <si>
    <t>1.材质：新西兰松
2.规格：外半径17*厚2.5*板宽7cm</t>
  </si>
  <si>
    <t>六边形一字螺丝</t>
  </si>
  <si>
    <t xml:space="preserve">
1.规格：
  六边形处边长1.8cm，厚1.5cm
  (1)长螺丝：总长8cm，螺纹处长6.5cm，红黄蓝绿各1个
  (2)中螺丝：总长5cm，螺纹处长3.5cm，红黄蓝绿各1个
  (3)短螺丝：总长4cm，螺纹处长2.5cm，红黄蓝绿各2个
  (4)最短螺丝：总长3cm，螺纹处长1.5cm，红黄蓝绿各1个
所有螺纹处圆φ1.1cm
2.材质：荷木
</t>
  </si>
  <si>
    <t>EVA花朵2</t>
  </si>
  <si>
    <t xml:space="preserve">1.材质：YYP （货号：DD3410）
2.規格：直径5.5cm 厚度0.2cm       
3.颜色：同样品
4.工艺：无溢胶、无异味、切割整齐、无变形、无色差。
5.数量：50个/套 </t>
  </si>
  <si>
    <t>红领巾</t>
  </si>
  <si>
    <t>1.材质：棉布
2.规格：长约100cm
3.数量：2个/套</t>
  </si>
  <si>
    <t>木勺子套装</t>
  </si>
  <si>
    <t xml:space="preserve">1.材质：木质
2.规格：纯原木小号尖头浅勺，长约12cm，宽约2.9cm
3.颜色：原木色
4.工艺：形状规整、无毛刺、边缘光滑不割手、无霉点、无裂痕
</t>
  </si>
  <si>
    <t>鞋带2</t>
  </si>
  <si>
    <t>1.材质：布质
2.规格：长90cm
3.数量：4根/套</t>
  </si>
  <si>
    <t>彩色羽毛裙边</t>
  </si>
  <si>
    <t xml:space="preserve">1.材质：羽毛
2.規格：羽毛长度12.7—15.24cm，裙边长度90cm
3.颜色：红色、绿色等混合
4.工艺：羽毛整齐，无胶水结点、无线头
</t>
  </si>
  <si>
    <t>偏旁图卡</t>
  </si>
  <si>
    <t>1.材质：250g白卡对裱
2.规格：直径10cm
3.数量：5张/套</t>
  </si>
  <si>
    <t>秧歌手帕</t>
  </si>
  <si>
    <t xml:space="preserve">1.材质：布
2.規格：边长26cm，对角长33cm
3.颜色：红色
4.工艺：针线整齐，无线头，两头锁边
</t>
  </si>
  <si>
    <t>点子骰子（点子1～6）</t>
  </si>
  <si>
    <t>大象头饰</t>
  </si>
  <si>
    <t>梳子2</t>
  </si>
  <si>
    <t>1.材质：椴木夹板
2.规格：长8.5*宽4cm*厚0.5cm
3.颜色：白色
4.数量：1个</t>
  </si>
  <si>
    <t>蔬菜水果玩具</t>
  </si>
  <si>
    <t xml:space="preserve">1.材质：塑料（可切开）        
2.规格：5.5*5.5cm（内含子件同样品）
3.颜色：彩色
4.工艺：毛毡粘贴紧密，形状规整、无毛边、边缘光滑、质地结实
</t>
  </si>
  <si>
    <t>大公鸡头饰</t>
  </si>
  <si>
    <t>木质轧型形状片</t>
  </si>
  <si>
    <t xml:space="preserve">1.规格：厚0.5cm，各种形状长宽约5cm*5cm
2.材质：荷木 
</t>
  </si>
  <si>
    <t>方位游戏卡</t>
  </si>
  <si>
    <t>1.材质：250g白卡
2.规格：长14cm*宽10cm  
3.数量：6张/套</t>
  </si>
  <si>
    <t>B3·2游戏卡</t>
  </si>
  <si>
    <t xml:space="preserve">1.规格：21cm*14cm 
2.材质：250g/m²白卡对裱        
</t>
  </si>
  <si>
    <t>正方形洞洞板1</t>
  </si>
  <si>
    <t>1.材质：椴木夹板
2.规格：长11cm*宽11cm*厚0.5cm
3.颜色：原木色
4.数量：4个/套</t>
  </si>
  <si>
    <t>游戏地图</t>
  </si>
  <si>
    <t xml:space="preserve">1.材质：布质
2.规格：长100cm*宽60cm
</t>
  </si>
  <si>
    <t>太阳公公头饰</t>
  </si>
  <si>
    <t xml:space="preserve">1.材质：EVA 
2.规格：直径20cm左右
3.颜色：金色
4.工艺：无溢胶、无异味、切割整齐、无变形、无色差、动物形象鲜明。
</t>
  </si>
  <si>
    <t>1/4圆</t>
  </si>
  <si>
    <r>
      <rPr>
        <sz val="10"/>
        <color rgb="FF000000"/>
        <rFont val="宋体"/>
        <charset val="134"/>
      </rPr>
      <t>1.材质：</t>
    </r>
    <r>
      <rPr>
        <sz val="10"/>
        <color indexed="8"/>
        <rFont val="宋体"/>
        <charset val="134"/>
      </rPr>
      <t xml:space="preserve">新西兰松
2.规格：半径10cm*厚度2.5cm
</t>
    </r>
  </si>
  <si>
    <t>红绸腰带</t>
  </si>
  <si>
    <t xml:space="preserve">1.材质：绸缎
2.規格：25*130cm
3.颜色：红色
4.工艺：针线整齐，无线头，两头锁边
</t>
  </si>
  <si>
    <t>1.材质：300g铜版        
2.规格：长26cm*宽18.5cm
3.数量：5张/套</t>
  </si>
  <si>
    <t>值日图卡</t>
  </si>
  <si>
    <t>圆形一字螺丝</t>
  </si>
  <si>
    <t xml:space="preserve">
1.规格：圆形处直径1.9cm，厚1cm
 （1）长螺丝：总长8cm，螺纹处长7cm，红黄蓝绿各1个
 （2）中螺丝：总长5cm，螺纹处长4cm，红黄蓝绿各1个
 （3）短螺丝：总长4cm，螺纹处长3cm，红黄蓝绿各2个
 （4）最短螺丝：总长3cm，螺纹处长2cm，红黄蓝绿各1个
所有螺纹处圆φ1.1cm
2.材质：荷木
</t>
  </si>
  <si>
    <t>1.材质：250g白卡
2.规格：长7cm*宽5cm
3.数量：18张/套</t>
  </si>
  <si>
    <t>鞋带（120cm）</t>
  </si>
  <si>
    <t xml:space="preserve">1.规格：120cm，φ约0.3cm
2.材质：尼龙+塑料收口
</t>
  </si>
  <si>
    <t>播报卡</t>
  </si>
  <si>
    <t>1.材质：250g白卡
2.规格：长21cm*宽14cm
3.数量：2张/套</t>
  </si>
  <si>
    <t>木质操作板</t>
  </si>
  <si>
    <t xml:space="preserve">1.材质：木质
2.规格：长42cm*宽42*厚1cm
</t>
  </si>
  <si>
    <t>沙蛋</t>
  </si>
  <si>
    <t xml:space="preserve">1.材质：木质
2.規格：5*7cm
3.颜色：彩色
4.工艺：无异味、无色差、无结点毛刺、表面整齐平滑。
</t>
  </si>
  <si>
    <t>无纺布衣服</t>
  </si>
  <si>
    <t>1.材质：无纺布
2.规格：长13.5cm*宽13.5cm*厚0.3cm
3.数量：4个/套</t>
  </si>
  <si>
    <t>奶瓶</t>
  </si>
  <si>
    <t xml:space="preserve">1.材质：塑料        
2.规格：直径3.5cm，高9cm
3.颜色：黄色
4.工艺：形状规整、无毛边、边缘光滑、质地结实，不易开裂，杯盖杯身卡口吻合，不易脱落
</t>
  </si>
  <si>
    <t>小书包</t>
  </si>
  <si>
    <t xml:space="preserve">1.材质：尼龙
2.规格：长19cm*宽16cm*厚9cm
3.颜色：黄色
</t>
  </si>
  <si>
    <t>机会卡</t>
  </si>
  <si>
    <t>1.材质：350g白卡
2.规格：长8.8cm*宽6cm
3.数量：8张/套</t>
  </si>
  <si>
    <t>积木图卡套装</t>
  </si>
  <si>
    <t>1.材质：157g铜版，双面覆膜，圆角
2.规格：21*14cm
3.数量：34张/套</t>
  </si>
  <si>
    <t>布</t>
  </si>
  <si>
    <t>1.材质：棉麻
2.规格：25cm*25cm
3.数量：4张/套</t>
  </si>
  <si>
    <t>四孔弯木条</t>
  </si>
  <si>
    <t xml:space="preserve">
1.规格：四孔弯木条(长14.5cm，宽3.5cm，厚0.9cm)，圆孔内φ1.3cm
2.材质：榉木
</t>
  </si>
  <si>
    <t>六格收纳盒</t>
  </si>
  <si>
    <t xml:space="preserve">1.规格：外径16.2cm*11.8cm*5.8cm，内径15.6cm*11.2cm*5.2cm，塑料厚0.1cm，旁边4格5cm*5.5cm，中间2格5.3cm*5.5cm
2.材质：塑料PP
</t>
  </si>
  <si>
    <t xml:space="preserve">藤编篮
</t>
  </si>
  <si>
    <t xml:space="preserve">1.材质：藤条        
2.规格：35*25*15cm（内尺寸）
3.颜色：棕色
4.工艺：形状规整、无毛刺、边缘光滑、质地结实
</t>
  </si>
  <si>
    <t>拼块游戏套装</t>
  </si>
  <si>
    <t>1.材质：木质
2.规格：14.5cm*宽12.5cm*厚0.6cm
（含彩色木块）</t>
  </si>
  <si>
    <t>1.材质：软磁+EVA        
2.规格：长28cm*宽21cm
3.数量：2张/套</t>
  </si>
  <si>
    <t>B3·7数字贴纸</t>
  </si>
  <si>
    <t xml:space="preserve">1.规格：10.5cm*14cm 
2.材质：双胶纸，背胶
</t>
  </si>
  <si>
    <t>B3·16记录单</t>
  </si>
  <si>
    <t xml:space="preserve">1.规格：21cm*14cm
2.材质：300g/m²铜版纸        
</t>
  </si>
  <si>
    <t>碰铃</t>
  </si>
  <si>
    <t xml:space="preserve">1.材质：金属+尼龙绳 
2.規格：直径3.5cm
3.颜色：金色（2个碰铃+1根绳子）
4.工艺：绳头无线头、磨圆角、金属平滑、结构牢固、铃声响亮。
 </t>
  </si>
  <si>
    <t>梳子1</t>
  </si>
  <si>
    <t>1.材质：椴木夹板
2.规格：长8.5*宽4cm*厚0.5cm
3.颜色：绿色
4.数量：1个</t>
  </si>
  <si>
    <t>双响桶</t>
  </si>
  <si>
    <t xml:space="preserve">1.材质：木质
2.規格：光面双响1个（直径3.2厘米，长18厘米）、棒子（长10.5cm）
3.颜色：原木色
4.工艺：打磨平整，无毛刺
</t>
  </si>
  <si>
    <t>观察员图卡</t>
  </si>
  <si>
    <t>1.材质：180g白卡
2.规格：长8.5cm*宽5.5cm
3.数量：2张/套</t>
  </si>
  <si>
    <t>小鸡小鸡（小书）</t>
  </si>
  <si>
    <t>1.材质：封面250g铜版覆膜轧圆角，内页100g双胶本白
2.规格：长21cm*宽14cm
3.数量：1本</t>
  </si>
  <si>
    <t>金币</t>
  </si>
  <si>
    <t>1.材质：塑料
2.规格：直径2.6cm*厚度0.2cm
3.数量：60个/套</t>
  </si>
  <si>
    <t>玩偶服饰</t>
  </si>
  <si>
    <t xml:space="preserve">1.材质：布质
2.規格：与玩偶匹配
内含：帽子、衣服、短裤/套
3.颜色：黄、粉
4.工艺：去商标，无毛边、无线头、锁边、针脚整齐
</t>
  </si>
  <si>
    <t>桥底板</t>
  </si>
  <si>
    <t>护眼知识我知道（小书）</t>
  </si>
  <si>
    <t>百数板套装</t>
  </si>
  <si>
    <t>1.材质：木质
2.规格：长29cm*宽29cm*高3.5cm
（含抽屉、隔板、棋子）</t>
  </si>
  <si>
    <t>半圆</t>
  </si>
  <si>
    <t xml:space="preserve">1.材质：新西兰松
2.规格：直径20*厚度2.5cm
</t>
  </si>
  <si>
    <t>1.材质：300g白卡
2.规格：长7cm*宽5cm
3.数量：52张/套</t>
  </si>
  <si>
    <t xml:space="preserve">1.材质：木质
2.规格：高4cm*直径2cm
3.颜色：红色、黄色各1各
</t>
  </si>
  <si>
    <t>三洞长板</t>
  </si>
  <si>
    <t xml:space="preserve">1.材质：新西兰松
2.规格：80*10*2.5cm
</t>
  </si>
  <si>
    <t>三角中空</t>
  </si>
  <si>
    <t xml:space="preserve">1.材质：新西兰松
2.规格：33.5*31.5*20*10cm
</t>
  </si>
  <si>
    <t>泳圈</t>
  </si>
  <si>
    <t xml:space="preserve">1.材质：PVC
2.規格：内径25cm，外径56cm
3.颜色：绿色
4.工艺：边缘平整，无异味，不漏气
</t>
  </si>
  <si>
    <t>互动游戏底纸</t>
  </si>
  <si>
    <t xml:space="preserve">1.材质：200g铜版             
2.规格：长48cm*宽28cm
</t>
  </si>
  <si>
    <t>小熊束口袋(25cm*18cm)</t>
  </si>
  <si>
    <t>围裙</t>
  </si>
  <si>
    <t xml:space="preserve">1.材质：布质
2.规格：围裙45*49cm
3.颜色：黄、粉、蓝
4.工艺：左内侧缝制logo，颜色鲜艳、无毛边线头、锁边、针脚整齐
</t>
  </si>
  <si>
    <t>面条机套装</t>
  </si>
  <si>
    <t>1.材质：塑料
2.规格：面条机长18.5cm*宽11.5cm*高20.5cm+零件组合
3.数量：1套</t>
  </si>
  <si>
    <t>冰条线</t>
  </si>
  <si>
    <t>1.材质：冰条线
2.规格：165g/卷
3.颜色：蓝色
4.数量：1个</t>
  </si>
  <si>
    <t>厨具套装</t>
  </si>
  <si>
    <t xml:space="preserve">1.材质：塑料
2.规格：45*21.5*62cm，内含操作台1套+厨具1套（内含子件同样品）
3.颜色：彩色
4.工艺：去商标，形状规整，无毛边，边缘光滑，质地结实
</t>
  </si>
  <si>
    <t>小汽车插板</t>
  </si>
  <si>
    <t xml:space="preserve">1.材质：五层加强纸箱板，轧型
2.规格：在100*70cm的纸箱板上轧型，插板40*15cm
3.颜色：正1反0
4.工艺：轧型取下包装入库，形状规整、无毛边、轧型处不开裂、质地结实，不易变形
</t>
  </si>
  <si>
    <t>小兔头饰</t>
  </si>
  <si>
    <t>绣帕3</t>
  </si>
  <si>
    <t>1.材质：棉布
2.规格：直径25cm 
3.数量：2个/套</t>
  </si>
  <si>
    <t>磁性白板</t>
  </si>
  <si>
    <t xml:space="preserve">1.规格：21cm*28cm*0.2cm
2.材质：PP（亮膜）+双面裱157g铜版纸，中间是2mm双面灰板+钢板
</t>
  </si>
  <si>
    <t>神奇转盘</t>
  </si>
  <si>
    <t xml:space="preserve">1.规格：φ10cm
2.材质：厚0.2cm的灰板，转盘指针1个，红色塑料，支撑架11cm*3.5cm*0.3cm，三合板，2个/套
</t>
  </si>
  <si>
    <t>值日生卡</t>
  </si>
  <si>
    <t>1.材质：180g白卡
2.规格：长8.5cm*宽5.5cm
3.数量：6张/套</t>
  </si>
  <si>
    <t>圆柱</t>
  </si>
  <si>
    <t xml:space="preserve">1.材质：新西兰松
2.规格：直径8*高10cm
</t>
  </si>
  <si>
    <t>银币</t>
  </si>
  <si>
    <t>1.材质：塑料
2.规格：直径2.6cm*厚度0.2cm
3.数量：40个/套</t>
  </si>
  <si>
    <t xml:space="preserve">1.材质：塑料+沙子
2.规格：高8.6cm，2分钟
3.颜色：红色
</t>
  </si>
  <si>
    <t>视听动游戏图卡</t>
  </si>
  <si>
    <t>铁丝线路套装</t>
  </si>
  <si>
    <t xml:space="preserve">1.材质：防锈铁丝                
2.规格：直径0.3cm
3.颜色：银色
</t>
  </si>
  <si>
    <t>大弯曲</t>
  </si>
  <si>
    <t>1.材质：新西兰松
2.规格：外直径34*厚2.5*板宽7cm</t>
  </si>
  <si>
    <t>塑胶洞洞板</t>
  </si>
  <si>
    <t xml:space="preserve">1.规格：28cm*19.5cm*1cm
2.材质：塑料PP
</t>
  </si>
  <si>
    <t>B3·3长游戏卡</t>
  </si>
  <si>
    <t xml:space="preserve">1.规格：27cm*6.5cm
2.材质：250g/m²白卡对裱
</t>
  </si>
  <si>
    <t>小球走迷宫范例图卡</t>
  </si>
  <si>
    <t>1.材质：300g铜版
2.规格：长21cm*宽14cm
3.数量：3张/套</t>
  </si>
  <si>
    <t>参考答案图卡</t>
  </si>
  <si>
    <t xml:space="preserve">1.材质：200g铜版
2.规格：长28cm*宽21cm
</t>
  </si>
  <si>
    <t>六边形螺帽</t>
  </si>
  <si>
    <t xml:space="preserve">
1.规格：边长1.8cm，厚1.5cm，圆孔内φ1.3cm
2.材质：荷木
</t>
  </si>
  <si>
    <t>1/2拱形</t>
  </si>
  <si>
    <t>1.材质：新西兰松
2.规格：20*20*厚2.5cm</t>
  </si>
  <si>
    <t>角色棋子</t>
  </si>
  <si>
    <t>1.材质：木质
2.规格：长7cm*宽5cm*厚1.2cm
3.数量：4个/套</t>
  </si>
  <si>
    <t>六边形扳手</t>
  </si>
  <si>
    <t xml:space="preserve">
1.规格：17cm*5.5cm*0.9cm
2.材质：荷木
</t>
  </si>
  <si>
    <t>塑料软针</t>
  </si>
  <si>
    <t xml:space="preserve">1.材质：塑料软针
2.规格：长4cm
3.数量：20个/套
</t>
  </si>
  <si>
    <t>小猴头饰</t>
  </si>
  <si>
    <t>小老虎头饰</t>
  </si>
  <si>
    <t>圆棒②</t>
  </si>
  <si>
    <t xml:space="preserve">1.材质：新西兰松
2.规格：直径5*长50cm
</t>
  </si>
  <si>
    <t>日历图卡</t>
  </si>
  <si>
    <t xml:space="preserve">1.材质：1.5灰板   
2.规格：长21cm*宽14cm
</t>
  </si>
  <si>
    <t>彩色宝石</t>
  </si>
  <si>
    <t>1.材质：亚克力
2.规格：直径2.5cm
3.数量：10个/套</t>
  </si>
  <si>
    <t>蒸笼</t>
  </si>
  <si>
    <t xml:space="preserve">1.材质：竹，不锈钢，YYP
2.规格：直径14.5cm,高6.5cm
3.颜色：原色
4.工艺：形状规整、无毛刺、边缘光滑不割手、质地结实，无霉点
</t>
  </si>
  <si>
    <t>B3·5方位卡</t>
  </si>
  <si>
    <t xml:space="preserve">1.规格：9cm*9cm
2.材质：250g/m²白卡对裱 
</t>
  </si>
  <si>
    <t>1.材质：250白卡
2.规格：长21cm*宽14cm
3.数量：8张/套</t>
  </si>
  <si>
    <t>蓝色半透明塑料箱(36cm*27cm*20cm)</t>
  </si>
  <si>
    <t xml:space="preserve">1.规格：盒盖外径尺寸35.8cm*27.8cm*1.5cm，塑料厚度0.16cm，箱子尺寸36cm*27cm*20cm，塑料厚度0.15cm
2.材质：盒盖ABS，箱子塑料PP
</t>
  </si>
  <si>
    <t>马头饰</t>
  </si>
  <si>
    <t>长方块③</t>
  </si>
  <si>
    <t xml:space="preserve">1.材质：新西兰松
2.规格：20*10*5cm
</t>
  </si>
  <si>
    <t>四孔矩形中空</t>
  </si>
  <si>
    <t xml:space="preserve">1.材质：新西兰松
2.规格：60*20*10cm
</t>
  </si>
  <si>
    <t>屋檐</t>
  </si>
  <si>
    <t xml:space="preserve">1.材质：新西兰松
2.规格：长20*宽10*厚5cm
</t>
  </si>
  <si>
    <t>医生服套装</t>
  </si>
  <si>
    <t xml:space="preserve">1.材质：棉布
2.规格：110cm，样式、材质同大班
3.颜色：白色
4.工艺：左内侧缝制logo，无毛边线头、锁边、针脚整齐，红十字标志需锁边，针脚整齐
</t>
  </si>
  <si>
    <t>B3·3短游戏卡</t>
  </si>
  <si>
    <t xml:space="preserve">1.规格：18cm*6.5cm
2.材质：250g/m²白卡对裱
</t>
  </si>
  <si>
    <t>矩形中空②</t>
  </si>
  <si>
    <t xml:space="preserve">1.材质：新西兰松
2.规格：40*20*10cm
</t>
  </si>
  <si>
    <t>抢答器</t>
  </si>
  <si>
    <t xml:space="preserve">1.材质：塑料+金属
2.规格：高4.5cm*直径7.2cm
</t>
  </si>
  <si>
    <t>笔袋</t>
  </si>
  <si>
    <t xml:space="preserve">1.材质：牛津布
2.规格：长18.5cm*宽5cm*高5cm
3.颜色：灰色
</t>
  </si>
  <si>
    <t>卡套</t>
  </si>
  <si>
    <t>1.材质：挂绳+塑料挂牌
2.规格：长10cm*宽6.5cm
3.数量：2个/套</t>
  </si>
  <si>
    <t>形状嵌板</t>
  </si>
  <si>
    <t>1.材质：木质
2.规格：长18cm*宽18cm*高3cm
（含积木）</t>
  </si>
  <si>
    <t>绣帕2</t>
  </si>
  <si>
    <t>1.材质：棉布
2.规格：直径20cm 
3.数量：4个/套</t>
  </si>
  <si>
    <t>水袖</t>
  </si>
  <si>
    <t xml:space="preserve">1.材质：布、松紧带
2.規格：长94cm，袖口周长53cm，松紧袖口的周长17cm
3.颜色：蓝白渐变色
4.工艺：针线整齐，无线头，两头锁边，亮片既胶粘又缝。
</t>
  </si>
  <si>
    <t xml:space="preserve">1.材质：PVC贴纸
2.规格：长18.5cm*宽7cm
</t>
  </si>
  <si>
    <t>1.材质：挂绳+塑料挂牌
2.规格：长10cm*宽6.5cm（厚70c）
3.数量：6个/套</t>
  </si>
  <si>
    <t>1.材质：安全镜
2.规格：长13cm*宽13cm*厚0.2cm
3.数量：2个/套</t>
  </si>
  <si>
    <t>1.材质：封面157g铜版纸，内页80g双胶纸
2.规格：长26cm*宽18.5cm
3.数量：1本</t>
  </si>
  <si>
    <t>长方形洞洞板1</t>
  </si>
  <si>
    <t>1.材质：椴木夹板
2.规格：长22cm*宽11cm*厚0.5cm
3.颜色：原木色
4.数量：2个/套</t>
  </si>
  <si>
    <t>橡胶套</t>
  </si>
  <si>
    <t xml:space="preserve">1.材质：硅胶
2.规格：直径0.3cm
3.颜色：透明
</t>
  </si>
  <si>
    <t>编织器2</t>
  </si>
  <si>
    <t>1.材质：榉木
2.规格：长17.56*宽4.11cm*厚1cm
3.数量：1个</t>
  </si>
  <si>
    <t>符号表</t>
  </si>
  <si>
    <t xml:space="preserve">1.材质：250g白卡
2.规格：长28cm*宽21cm
</t>
  </si>
  <si>
    <t>点线连接游戏图卡</t>
  </si>
  <si>
    <t>老虎头饰</t>
  </si>
  <si>
    <t>铃鼓</t>
  </si>
  <si>
    <t xml:space="preserve">1.材质：皮+木质
2.規格：直径14cm
3.颜色：红色
4.工艺：形状规整、边缘光滑、质地结实，不易开裂，刷三层清漆，金属平滑，结构牢固。
 </t>
  </si>
  <si>
    <t>G3
游戏实施方案（含DVD）</t>
  </si>
  <si>
    <t>蓝绿色塑料盒</t>
  </si>
  <si>
    <t>小切刀</t>
  </si>
  <si>
    <t xml:space="preserve">1.材质：木质
2.规格：15.5cm
3.颜色：原木色
4.工艺：刀尖处磨圆，形状规整、无毛刺、边缘光滑不割手、无霉点、无裂痕
</t>
  </si>
  <si>
    <t>事件图卡</t>
  </si>
  <si>
    <t>1.材质：1.5灰板
2.规格：长4cm*宽4cm
3.数量：12张/套</t>
  </si>
  <si>
    <t>木质轧型小动物</t>
  </si>
  <si>
    <t xml:space="preserve">1.规格：外框8cm*5.8cm*1.4cm、内有轧型
2.材质：榉木
</t>
  </si>
  <si>
    <t>B3·11游戏卡</t>
  </si>
  <si>
    <t xml:space="preserve">1.规格：14cm*21cm
2.材质：250g/m²白卡对裱
</t>
  </si>
  <si>
    <t>圆纸筒</t>
  </si>
  <si>
    <t xml:space="preserve">1.材质：纸质
2.规格：直径7cm，高9cm，带盖
3.颜色：白色
4.工艺：盖子与圆筒匹配，不易脱落
</t>
  </si>
  <si>
    <t>薄方块</t>
  </si>
  <si>
    <t xml:space="preserve">1.材质：新西兰松
2.规格：10*10*2.5cm
</t>
  </si>
  <si>
    <t>小熊头饰</t>
  </si>
  <si>
    <t>1.材质：布制
2.規格：头箍高13cm*宽11cm，领结：12.5*9.5cm左右，尾巴：28cm左右
3.颜色：棕色
4.工艺：剪裁整齐、无毛边、无线头、锁边、针脚密度统一、无溢胶。
5.数量：头箍1个+领结1个+尾巴1个=1套</t>
  </si>
  <si>
    <t>绣帕1</t>
  </si>
  <si>
    <t>1.材质：棉布
2.规格：直径25cm 
3.数量：4个/套</t>
  </si>
  <si>
    <t>掀盖记忆盒</t>
  </si>
  <si>
    <t xml:space="preserve">1.规格：木盒外径20cm*20cm*5cm，每层木板厚0.8cm。第一层高0.7cm,第二层高1.9cm。顶层木板：上轧9个圆孔φ5.2cm，下轧9个圆孔φ4.8cm，以便橘色盖子放置。橘色盖子φ5cm，抓手尺寸1.5cm。木盒第一、二层木板右侧凹口长3.6cm，深0.9cm，凹口下端距木盒底5cm、凹口上端距木盒顶11.4cm
2.材质：松木
</t>
  </si>
  <si>
    <t xml:space="preserve">1.材质：塑料        
2.规格：长11cm*宽9cm*高3cm
3.颜色：半透明
</t>
  </si>
  <si>
    <t xml:space="preserve">1.材质：300g铜版
2.规格：长28cm*宽21cm
</t>
  </si>
  <si>
    <t>积分底卡</t>
  </si>
  <si>
    <t>1.材质：300g白卡
2.规格：长14cm*宽12.5cm 
3.数量：4个/套</t>
  </si>
  <si>
    <t xml:space="preserve">1.材质：塑料         
2.规格：长11cm*宽9cm*高3cm
3.颜色：半透明
</t>
  </si>
  <si>
    <t>马口铁盒(12cm*9cm*4cm、红)</t>
  </si>
  <si>
    <t>1/4圆形木块</t>
  </si>
  <si>
    <t>1.材质：松木
2.规格：边长3cm*厚0.8cm
3.颜色：原木色
4.数量：10个/套</t>
  </si>
  <si>
    <t>圆棒①</t>
  </si>
  <si>
    <t xml:space="preserve">1.材质：新西兰松
2.规格：直径5*长30cm
</t>
  </si>
  <si>
    <t>木质立方体（有螺纹）</t>
  </si>
  <si>
    <t xml:space="preserve">
1.规格：3.8cm*3.8cm*3.8cm，圆孔内φ1.3cm
2.材质：荷木
</t>
  </si>
  <si>
    <t>劳动工具套装</t>
  </si>
  <si>
    <t>1.材质：塑料+棉
2.规格：长37.5cm*宽25cm*高6cm
3.数量：8件/1套</t>
  </si>
  <si>
    <t>瓢虫套装</t>
  </si>
  <si>
    <t xml:space="preserve">1.规格:
大号：身体φ29cm。头部φ15.5cm。黑色拉链长23cm。黑色纽扣φ2cm
中号：身体φ22cm。头部φ13cm。黑色拉链长17.5cm。黑色纽扣φ1.5cm
小号：身体φ17cm。头部φ直径10cm。黑色拉链长13cm。黑色纽扣φ1cm
2.材质：身体不织布，红色、厚2mm。头部不织布，黑色、厚1mm。尼龙拉链，塑料纽扣
</t>
  </si>
  <si>
    <t>塑料挂钩</t>
  </si>
  <si>
    <t xml:space="preserve">1.材质：塑料
2.规格：长5cm*宽2cm*厚0.4cm
3.颜色：白色
</t>
  </si>
  <si>
    <t>B3·13工具对照表</t>
  </si>
  <si>
    <t xml:space="preserve">1.规格：21cm*14cm
2.材质：300g/m²铜版纸
</t>
  </si>
  <si>
    <t>长方体积木</t>
  </si>
  <si>
    <t xml:space="preserve">1.材质：荷木
2.规格：长6cm*宽3cm*高3cm
3.颜色：（蓝色1个、黄色1个）/套
</t>
  </si>
  <si>
    <t>1.材质：木质
2.规格：高4cm*直径2cm
3.数量：4个/套</t>
  </si>
  <si>
    <t>小猪头饰</t>
  </si>
  <si>
    <t>1.材质：EVA
2.規格：19*17cm
3.颜色：同样品
4.工艺：无溢胶、无异味、切割整齐</t>
  </si>
  <si>
    <t>堵头</t>
  </si>
  <si>
    <t>1.材质：硅胶
2.规格：直径6.4*高5.2cm
3.颜色：橙黄色</t>
  </si>
  <si>
    <t>去上学游戏毯</t>
  </si>
  <si>
    <t>绣绷1</t>
  </si>
  <si>
    <t>1.材质：塑料
2.规格：直径20cm
3.数量：2个/套</t>
  </si>
  <si>
    <t>夹子</t>
  </si>
  <si>
    <t xml:space="preserve">1.材质：塑料
2.規格：11*7.5*3cm
3.颜色：黄色
4.工艺：颜色色度纯，无异味，边缘整齐完整    
5.数量：4个/套      </t>
  </si>
  <si>
    <t>青蛙头饰</t>
  </si>
  <si>
    <t>连接件①</t>
  </si>
  <si>
    <t>1.材质：硅胶
2.规格：直径10*高5.25cm
3.颜色：橙黄色</t>
  </si>
  <si>
    <t>小猫帽子</t>
  </si>
  <si>
    <t>听动游戏图卡</t>
  </si>
  <si>
    <t xml:space="preserve">1.材质：塑料           
2.规格：内径2.8cm
3.颜色：蓝色
</t>
  </si>
  <si>
    <t>木质小动物</t>
  </si>
  <si>
    <t xml:space="preserve">1.规格：约6cm*6cm*1.5cm（每个动物具体尺寸不一）
2.材质：密度板
3.老虎、熊、猴子各1）
</t>
  </si>
  <si>
    <t>塑料拼插积木</t>
  </si>
  <si>
    <t xml:space="preserve">1.规格：2cm*2cm*2cm
2.材质：红色塑料  
</t>
  </si>
  <si>
    <t>孵化记录单</t>
  </si>
  <si>
    <t>1.材质：200g铜板
2.规格：长42cm*21cm
3.数量：1张</t>
  </si>
  <si>
    <t>桌面扫把簸箕套装</t>
  </si>
  <si>
    <t xml:space="preserve">1.材质：塑料
2.规格：扫把刷毛14cm,手柄14cm，簸箕22.5*21cm,手柄13cm（同样品）
3.颜色：天蓝色
4.工艺：去商标，形状规整、无毛边、边缘光滑、质地结实
</t>
  </si>
  <si>
    <t>棒偶图卡</t>
  </si>
  <si>
    <t>1.材质：灰板 轧型 双面覆膜
2.规格：28*21cm 厚0.2cm
3.印刷：正4反0（34个棒偶）
4.数量：4张/套</t>
  </si>
  <si>
    <t>小猴帽子</t>
  </si>
  <si>
    <t xml:space="preserve">1.材质：1.5灰板
2.规格：长42cm*宽28cm（轧成2张）
</t>
  </si>
  <si>
    <t xml:space="preserve">1.材质：保丽龙板
2.规格：长25cm,宽18cm，厚1cm
3.颜色：白色
4.工艺：无异味，切割整齐，边缘无断裂，无毛边数
</t>
  </si>
  <si>
    <t>白手套</t>
  </si>
  <si>
    <t xml:space="preserve">1.材质：针织
2.规格：13cm
3.颜色：白色
4.工艺：无毛边、无线头、锁边、针脚整齐
</t>
  </si>
  <si>
    <t>副</t>
  </si>
  <si>
    <t>小黑鸡套装</t>
  </si>
  <si>
    <t xml:space="preserve">1.材质：布制 
2.规格：头箍高13cm*宽11cm，领结：12.5*9.5cm左右，尾巴：28cm左右
3.颜色：黑色（头箍1个+领结1个+尾巴1个）
4.工艺：剪裁整齐、无毛边、无线头、锁边、针脚密度统一、无溢胶。
</t>
  </si>
  <si>
    <t>造型图卡</t>
  </si>
  <si>
    <t>1.材质：350g白卡
2.规格：长21cm*宽14cm
3.数量：2张/套</t>
  </si>
  <si>
    <t>B3·5游戏底板</t>
  </si>
  <si>
    <t xml:space="preserve">1.规格：42cm*42cm*0.3cm
2.材质：灰板 
3.量：1个
</t>
  </si>
  <si>
    <t>1.材质：密度板
2.规格：长6cm*宽4.5cm*厚1.2cm
3.数量：4个/套</t>
  </si>
  <si>
    <t>描述卡片</t>
  </si>
  <si>
    <t xml:space="preserve">1.材质：250g白卡
2.规格：长21cm*宽14cm
</t>
  </si>
  <si>
    <t>物品卡片</t>
  </si>
  <si>
    <t>1.材质：250g白卡
2.规格：长7cm*宽5cm
3.数量：40张/套</t>
  </si>
  <si>
    <t>领带</t>
  </si>
  <si>
    <t xml:space="preserve">1.材质：布+松紧带
2.规格：领带长29cm，宽5-6.5cm,松紧带，长约50cm
3.颜色：黄、粉、蓝
4.工艺：去商标，无毛边、无线头、锁边、针脚整齐
</t>
  </si>
  <si>
    <t>大钻石</t>
  </si>
  <si>
    <t xml:space="preserve">1.规格：3.5cm*3.5cm*3.5cm 
2.材质：透明塑料
3.加数量：一式4个
                </t>
  </si>
  <si>
    <t>三角形洞洞板</t>
  </si>
  <si>
    <t>1.材质：椴木夹板
2.规格：边长10.38cm*高9.86cm，厚0.5cm
3.颜色：原木色
4.数量：6个/套</t>
  </si>
  <si>
    <t>三角卡口板</t>
  </si>
  <si>
    <t xml:space="preserve">1.材质：新西兰松
2.规格：长100*高35*厚5cm；等腰边长61cm；每侧腰边2个卡口宽5cm*深1cm
</t>
  </si>
  <si>
    <t>长方形洞洞板5</t>
  </si>
  <si>
    <t xml:space="preserve">1.材质：塑料
2.规格：长11cm
3.颜色：（红色、蓝色、黑色各2个）/套
</t>
  </si>
  <si>
    <t>三角块</t>
  </si>
  <si>
    <t xml:space="preserve">1.材质：新西兰松
2.规格：腰边20*腰边20*厚2.5cm
</t>
  </si>
  <si>
    <t>厚方块</t>
  </si>
  <si>
    <t xml:space="preserve">1.材质：新西兰松
2.规格：10*10*5cm
</t>
  </si>
  <si>
    <t>面条机</t>
  </si>
  <si>
    <t xml:space="preserve">1.材质：塑料
2.规格：主体：15*4*8cm，模具:2.5*13cm（内含子件同样品）
3.颜色：黄色
4.工艺：去商标，形状规整、无毛边、边缘光滑、质地结实，不易开裂，模具与机身卡口吻合，使用时不易脱落
</t>
  </si>
  <si>
    <t>B3·1外箱说明牌</t>
  </si>
  <si>
    <t xml:space="preserve">1.规格：18cm*7cm
2.材质：200g/㎡铜版纸  
</t>
  </si>
  <si>
    <t>长方形纸盘</t>
  </si>
  <si>
    <t xml:space="preserve">1.材质：纸质
2.规格：长方形，14*10cm
3.颜色：白色
4.工艺：形状规整、无毛边
</t>
  </si>
  <si>
    <t>交通标志套装</t>
  </si>
  <si>
    <r>
      <rPr>
        <sz val="10"/>
        <rFont val="宋体"/>
        <charset val="134"/>
      </rPr>
      <t>1.材质：塑料
2.规格：塑料棒长75cm*直径2.2cm；塑料底座直径25.5cm*高8cm；</t>
    </r>
    <r>
      <rPr>
        <sz val="10"/>
        <rFont val="宋体"/>
        <charset val="134"/>
      </rPr>
      <t xml:space="preserve">
3.数量：5件/套</t>
    </r>
    <r>
      <rPr>
        <sz val="10"/>
        <rFont val="宋体"/>
        <charset val="134"/>
      </rPr>
      <t>（含底座、连接件、塑料棒、提示牌；1个直行、1个转弯、1个停车场、1个让行、1个注意行人标志）</t>
    </r>
  </si>
  <si>
    <t>厨师帽</t>
  </si>
  <si>
    <t xml:space="preserve">1.材质：布质 松紧带
2.规格：头围约45-55cm
3.颜色：白色
4.工艺：左内侧缝制logo，无毛边线头、锁边、针脚整齐
</t>
  </si>
  <si>
    <t>磁性泡棉</t>
  </si>
  <si>
    <t xml:space="preserve">1.规格：20cm*20cm*0.58cm
2.材质：0.8mm软磁+0.5cmEVA（红、黄、蓝、绿）
</t>
  </si>
  <si>
    <t>皇冠头纱</t>
  </si>
  <si>
    <t xml:space="preserve">1.材质：纱+塑料
2.規格：皇冠直径17.5cm，纱长约50cm
3.颜色：粉色
4.工艺：针线整齐，无线头
</t>
  </si>
  <si>
    <t>晾衣架</t>
  </si>
  <si>
    <t xml:space="preserve">1.材质：不锈钢
2.規格：高150cm，长151cm,底宽43cm
3.颜色：湖蓝色
4.工艺：切、接口平滑，避免锋利，无刮痕，无变形。
</t>
  </si>
  <si>
    <t>一洞方板</t>
  </si>
  <si>
    <t>小小设计师图卡</t>
  </si>
  <si>
    <t>丝带1</t>
  </si>
  <si>
    <t>1.材质：涤纶
2.规格：长50cm*宽2cm
3.颜色：粉紫
4.数量：2个/套</t>
  </si>
  <si>
    <t>连接件②</t>
  </si>
  <si>
    <t>1.材质：硅胶
2.规格：直径10*高10cm
3.颜色：橙黄色</t>
  </si>
  <si>
    <t>B3·6游戏卡</t>
  </si>
  <si>
    <t xml:space="preserve">1.规格：9cm*9cm 
2.材质：250g/m²白卡对裱
</t>
  </si>
  <si>
    <t>小鸭头饰</t>
  </si>
  <si>
    <t>B3·5坐标卡</t>
  </si>
  <si>
    <t xml:space="preserve">1.规格：9cm*6cm
2.材质：250g/m²白卡对裱 
</t>
  </si>
  <si>
    <t>编织器3</t>
  </si>
  <si>
    <t>1.材质：椴木夹板
2.规格：长26*宽10.625cm*厚1cm
3.数量：1个</t>
  </si>
  <si>
    <t>服装设计卡</t>
  </si>
  <si>
    <t>1.材质：200g铜版        
2.规格：长42cm*宽28cm
3.数量：1张</t>
  </si>
  <si>
    <t>六孔矩形中空</t>
  </si>
  <si>
    <t xml:space="preserve">1.材质：新西兰松
2.规格：80*20*10cm
</t>
  </si>
  <si>
    <t>点读笔
（含充电器及USB连接线）</t>
  </si>
  <si>
    <t>1.规格：长16cm*4cm 
2.材质：塑料 
3.颜色：绿色 
4.工艺：光滑、无零部件破损等问题 
5.其他：毛毛虫造型 （内存8G）
6.数量：1支/套</t>
  </si>
  <si>
    <t>点读录音贴纸</t>
  </si>
  <si>
    <t>1.规格：21*28cm 
2.印色：正四反零 
3.工艺：轧型 可点读 可录音 
4.数量：点读贴纸 1张(80个)录音贴纸4张（160个）共5张/套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</si>
</sst>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-* #,##0.00_-;\-* #,##0.00_-;_-* &quot;-&quot;??_-;_-@_-"/>
    <numFmt numFmtId="177" formatCode="#\ ?/?"/>
  </numFmts>
  <fonts count="34">
    <font>
      <sz val="11"/>
      <name val="宋体"/>
      <charset val="134"/>
    </font>
    <font>
      <sz val="9"/>
      <color rgb="FF000000"/>
      <name val="仿宋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0"/>
      <color indexed="0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  <scheme val="minor"/>
    </font>
    <font>
      <b/>
      <sz val="12"/>
      <name val="宋体"/>
      <charset val="134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3" fontId="2" fillId="0" borderId="0">
      <alignment vertical="top"/>
      <protection locked="0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5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6" borderId="5" applyNumberFormat="0" applyAlignment="0" applyProtection="0">
      <alignment vertical="center"/>
    </xf>
    <xf numFmtId="0" fontId="24" fillId="7" borderId="6" applyNumberFormat="0" applyAlignment="0" applyProtection="0">
      <alignment vertical="center"/>
    </xf>
    <xf numFmtId="0" fontId="25" fillId="7" borderId="5" applyNumberFormat="0" applyAlignment="0" applyProtection="0">
      <alignment vertical="center"/>
    </xf>
    <xf numFmtId="0" fontId="26" fillId="8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2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176" fontId="3" fillId="0" borderId="0">
      <alignment vertical="top"/>
      <protection locked="0"/>
    </xf>
    <xf numFmtId="0" fontId="2" fillId="0" borderId="0">
      <protection locked="0"/>
    </xf>
  </cellStyleXfs>
  <cellXfs count="97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top" wrapText="1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textRotation="255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49" applyFont="1" applyFill="1" applyBorder="1" applyAlignment="1" applyProtection="1">
      <alignment horizontal="left" vertical="center" wrapText="1"/>
    </xf>
    <xf numFmtId="49" fontId="6" fillId="0" borderId="1" xfId="49" applyNumberFormat="1" applyFont="1" applyFill="1" applyBorder="1" applyAlignment="1" applyProtection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49" applyFont="1" applyBorder="1" applyAlignment="1" applyProtection="1">
      <alignment horizontal="center" vertical="center"/>
    </xf>
    <xf numFmtId="0" fontId="8" fillId="0" borderId="1" xfId="49" applyFont="1" applyFill="1" applyBorder="1" applyAlignment="1" applyProtection="1">
      <alignment horizontal="center" vertical="center"/>
    </xf>
    <xf numFmtId="0" fontId="4" fillId="0" borderId="1" xfId="1" applyNumberFormat="1" applyFont="1" applyFill="1" applyBorder="1" applyAlignment="1" applyProtection="1">
      <alignment vertical="center" wrapText="1"/>
    </xf>
    <xf numFmtId="0" fontId="9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4" borderId="1" xfId="49" applyFont="1" applyFill="1" applyBorder="1" applyAlignment="1" applyProtection="1">
      <alignment horizontal="center" vertical="center" wrapText="1"/>
    </xf>
    <xf numFmtId="0" fontId="12" fillId="4" borderId="1" xfId="49" applyFont="1" applyFill="1" applyBorder="1" applyAlignment="1" applyProtection="1">
      <alignment horizontal="center" vertical="center" wrapText="1"/>
    </xf>
    <xf numFmtId="49" fontId="4" fillId="0" borderId="1" xfId="49" applyNumberFormat="1" applyFont="1" applyBorder="1" applyAlignment="1" applyProtection="1">
      <alignment horizontal="left" vertical="center" wrapText="1"/>
    </xf>
    <xf numFmtId="0" fontId="10" fillId="0" borderId="1" xfId="1" applyNumberFormat="1" applyFont="1" applyFill="1" applyBorder="1" applyAlignment="1" applyProtection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0" borderId="1" xfId="1" applyNumberFormat="1" applyFont="1" applyFill="1" applyBorder="1" applyAlignment="1" applyProtection="1">
      <alignment horizontal="left" vertical="center" wrapText="1"/>
    </xf>
    <xf numFmtId="0" fontId="6" fillId="0" borderId="1" xfId="50" applyFont="1" applyFill="1" applyBorder="1" applyAlignment="1" applyProtection="1">
      <alignment horizontal="left" vertical="center" wrapText="1"/>
    </xf>
    <xf numFmtId="0" fontId="6" fillId="0" borderId="1" xfId="1" applyNumberFormat="1" applyFont="1" applyFill="1" applyBorder="1" applyAlignment="1" applyProtection="1">
      <alignment horizontal="left" vertical="center" wrapText="1"/>
    </xf>
    <xf numFmtId="49" fontId="6" fillId="0" borderId="1" xfId="0" applyNumberFormat="1" applyFont="1" applyFill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6" fillId="0" borderId="1" xfId="49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49" applyNumberFormat="1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49" applyFont="1" applyBorder="1" applyAlignment="1" applyProtection="1">
      <alignment horizontal="center" vertical="center" wrapText="1"/>
    </xf>
    <xf numFmtId="0" fontId="6" fillId="0" borderId="1" xfId="49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13" fillId="0" borderId="1" xfId="0" applyNumberFormat="1" applyFont="1" applyFill="1" applyBorder="1" applyAlignment="1">
      <alignment horizontal="left" vertical="center" wrapText="1"/>
    </xf>
    <xf numFmtId="0" fontId="6" fillId="0" borderId="1" xfId="50" applyFont="1" applyFill="1" applyBorder="1" applyAlignment="1" applyProtection="1">
      <alignment horizontal="center" vertical="center" wrapText="1"/>
    </xf>
    <xf numFmtId="0" fontId="3" fillId="0" borderId="1" xfId="49" applyFont="1" applyBorder="1" applyAlignment="1" applyProtection="1">
      <alignment vertical="center" wrapText="1"/>
    </xf>
    <xf numFmtId="0" fontId="6" fillId="0" borderId="1" xfId="49" applyNumberFormat="1" applyFont="1" applyFill="1" applyBorder="1" applyAlignment="1" applyProtection="1">
      <alignment horizontal="center" vertical="center" wrapText="1"/>
    </xf>
    <xf numFmtId="0" fontId="6" fillId="0" borderId="1" xfId="51" applyFont="1" applyFill="1" applyBorder="1" applyAlignment="1" applyProtection="1">
      <alignment horizontal="center" vertical="center" wrapText="1"/>
    </xf>
    <xf numFmtId="0" fontId="6" fillId="0" borderId="1" xfId="49" applyFont="1" applyFill="1" applyBorder="1" applyAlignment="1" applyProtection="1">
      <alignment vertical="center" wrapText="1"/>
    </xf>
    <xf numFmtId="0" fontId="4" fillId="0" borderId="1" xfId="52" applyFont="1" applyBorder="1" applyAlignment="1" applyProtection="1">
      <alignment horizontal="left" vertical="center" wrapText="1"/>
    </xf>
    <xf numFmtId="0" fontId="6" fillId="0" borderId="1" xfId="1" applyNumberFormat="1" applyFont="1" applyFill="1" applyBorder="1" applyAlignment="1" applyProtection="1">
      <alignment vertical="center" wrapText="1"/>
    </xf>
    <xf numFmtId="0" fontId="4" fillId="0" borderId="1" xfId="53" applyFont="1" applyBorder="1" applyAlignment="1" applyProtection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53" applyFont="1" applyBorder="1" applyAlignment="1" applyProtection="1">
      <alignment horizontal="center" vertical="center" wrapText="1"/>
    </xf>
    <xf numFmtId="0" fontId="3" fillId="0" borderId="1" xfId="54" applyBorder="1" applyAlignment="1" applyProtection="1">
      <alignment horizontal="center" vertical="center" wrapText="1"/>
    </xf>
    <xf numFmtId="0" fontId="4" fillId="0" borderId="1" xfId="55" applyFont="1" applyBorder="1" applyAlignment="1" applyProtection="1">
      <alignment horizontal="left" vertical="center" wrapText="1"/>
    </xf>
    <xf numFmtId="177" fontId="4" fillId="0" borderId="1" xfId="1" applyNumberFormat="1" applyFont="1" applyFill="1" applyBorder="1" applyAlignment="1" applyProtection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6" fillId="0" borderId="1" xfId="49" applyFont="1" applyFill="1" applyBorder="1" applyAlignment="1" applyProtection="1">
      <alignment vertical="center"/>
    </xf>
    <xf numFmtId="0" fontId="6" fillId="0" borderId="1" xfId="49" applyFont="1" applyFill="1" applyBorder="1" applyAlignment="1" applyProtection="1">
      <alignment horizontal="center" vertical="center" wrapText="1"/>
    </xf>
    <xf numFmtId="0" fontId="6" fillId="0" borderId="1" xfId="51" applyFont="1" applyFill="1" applyBorder="1" applyAlignment="1" applyProtection="1">
      <alignment horizontal="left" vertical="center" wrapText="1"/>
    </xf>
    <xf numFmtId="0" fontId="3" fillId="0" borderId="1" xfId="49" applyBorder="1" applyAlignment="1" applyProtection="1">
      <alignment horizontal="center" vertical="center" wrapText="1"/>
    </xf>
    <xf numFmtId="49" fontId="6" fillId="2" borderId="1" xfId="49" applyNumberFormat="1" applyFont="1" applyFill="1" applyBorder="1" applyAlignment="1" applyProtection="1">
      <alignment horizontal="left" vertical="center" wrapText="1"/>
    </xf>
    <xf numFmtId="0" fontId="4" fillId="0" borderId="1" xfId="56" applyFont="1" applyBorder="1" applyAlignment="1" applyProtection="1">
      <alignment horizontal="center" vertical="center" wrapText="1"/>
    </xf>
    <xf numFmtId="0" fontId="4" fillId="0" borderId="1" xfId="56" applyFont="1" applyBorder="1" applyAlignment="1" applyProtection="1">
      <alignment horizontal="left"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>
      <alignment vertical="center"/>
    </xf>
    <xf numFmtId="0" fontId="10" fillId="0" borderId="1" xfId="0" applyFont="1" applyFill="1" applyBorder="1" applyAlignment="1">
      <alignment vertical="center" wrapText="1"/>
    </xf>
    <xf numFmtId="0" fontId="3" fillId="0" borderId="1" xfId="52" applyFont="1" applyBorder="1" applyAlignment="1" applyProtection="1">
      <alignment horizontal="center" vertical="center" wrapText="1"/>
    </xf>
    <xf numFmtId="0" fontId="3" fillId="0" borderId="1" xfId="1" applyNumberFormat="1" applyFont="1" applyFill="1" applyBorder="1" applyAlignment="1" applyProtection="1">
      <alignment horizontal="left" vertical="center" wrapText="1"/>
    </xf>
    <xf numFmtId="0" fontId="10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>
      <alignment vertical="center"/>
    </xf>
    <xf numFmtId="0" fontId="4" fillId="0" borderId="1" xfId="57" applyFont="1" applyBorder="1" applyAlignment="1" applyProtection="1">
      <alignment horizontal="center" vertical="center" wrapText="1"/>
    </xf>
    <xf numFmtId="0" fontId="11" fillId="0" borderId="1" xfId="51" applyFont="1" applyFill="1" applyBorder="1" applyAlignment="1" applyProtection="1">
      <alignment horizontal="left" vertical="center"/>
    </xf>
    <xf numFmtId="0" fontId="6" fillId="0" borderId="1" xfId="58" applyNumberFormat="1" applyFont="1" applyFill="1" applyBorder="1" applyAlignment="1" applyProtection="1">
      <alignment horizontal="left" vertical="center" wrapText="1"/>
    </xf>
    <xf numFmtId="49" fontId="3" fillId="0" borderId="1" xfId="49" applyNumberFormat="1" applyBorder="1" applyAlignment="1" applyProtection="1">
      <alignment horizontal="center" vertical="center" wrapText="1"/>
    </xf>
    <xf numFmtId="0" fontId="11" fillId="0" borderId="1" xfId="51" applyFont="1" applyFill="1" applyBorder="1" applyAlignment="1" applyProtection="1">
      <alignment horizontal="center" vertical="center"/>
    </xf>
    <xf numFmtId="0" fontId="10" fillId="0" borderId="1" xfId="1" applyNumberFormat="1" applyFont="1" applyFill="1" applyBorder="1" applyAlignment="1" applyProtection="1">
      <alignment vertical="center" wrapText="1"/>
    </xf>
    <xf numFmtId="0" fontId="4" fillId="0" borderId="1" xfId="59" applyFont="1" applyBorder="1" applyAlignment="1" applyProtection="1">
      <alignment horizontal="left" vertical="center" wrapText="1"/>
    </xf>
    <xf numFmtId="0" fontId="4" fillId="0" borderId="1" xfId="1" applyNumberFormat="1" applyFont="1" applyFill="1" applyBorder="1" applyAlignment="1" applyProtection="1">
      <alignment horizontal="center" vertical="center" wrapText="1"/>
    </xf>
    <xf numFmtId="0" fontId="4" fillId="0" borderId="1" xfId="49" applyFont="1" applyBorder="1" applyAlignment="1" applyProtection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2" fillId="0" borderId="1" xfId="49" applyFont="1" applyFill="1" applyBorder="1" applyAlignment="1" applyProtection="1">
      <alignment horizontal="center" vertical="center" wrapText="1"/>
    </xf>
    <xf numFmtId="0" fontId="6" fillId="0" borderId="1" xfId="51" applyNumberFormat="1" applyFont="1" applyFill="1" applyBorder="1" applyAlignment="1" applyProtection="1">
      <alignment horizontal="center" vertical="center" wrapText="1"/>
    </xf>
  </cellXfs>
  <cellStyles count="6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一般 2 2" xfId="50"/>
    <cellStyle name="一般 2" xfId="51"/>
    <cellStyle name="常规 5 2" xfId="52"/>
    <cellStyle name="常规 3 2" xfId="53"/>
    <cellStyle name="常规 3" xfId="54"/>
    <cellStyle name="常规 10" xfId="55"/>
    <cellStyle name="常规 2 2 2 2 2" xfId="56"/>
    <cellStyle name="常规 2 2 2" xfId="57"/>
    <cellStyle name="千位分隔 2" xfId="58"/>
    <cellStyle name="常规 12" xfId="59"/>
  </cellStyles>
  <dxfs count="17"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</dxf>
    <dxf>
      <font>
        <b val="1"/>
        <color rgb="FF000000"/>
      </font>
    </dxf>
    <dxf>
      <font>
        <b val="1"/>
        <color rgb="FF000000"/>
      </font>
      <border>
        <left/>
        <right/>
        <top style="double">
          <color rgb="FF4874CB"/>
        </top>
        <bottom/>
      </border>
    </dxf>
    <dxf>
      <font>
        <b val="1"/>
        <color rgb="FFFFFFFF"/>
      </font>
      <fill>
        <patternFill patternType="solid">
          <fgColor rgb="FF4874CB"/>
          <bgColor rgb="FF4874CB"/>
        </patternFill>
      </fill>
    </dxf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horizontal style="thin">
          <color rgb="FF91AADF"/>
        </horizontal>
      </border>
    </dxf>
    <dxf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b val="1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color rgb="FF000000"/>
      </font>
    </dxf>
    <dxf>
      <font>
        <color rgb="FF000000"/>
      </font>
      <border>
        <left/>
        <right/>
        <top/>
        <bottom style="thin">
          <color rgb="FF91AADF"/>
        </bottom>
      </border>
    </dxf>
    <dxf>
      <font>
        <b val="1"/>
        <color rgb="FF000000"/>
      </font>
    </dxf>
    <dxf>
      <font>
        <b val="1"/>
        <color rgb="FF000000"/>
      </font>
      <border>
        <left/>
        <right/>
        <top style="thin">
          <color rgb="FF4874CB"/>
        </top>
        <bottom style="thin">
          <color rgb="FF4874CB"/>
        </bottom>
      </border>
    </dxf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 style="thin">
          <color rgb="FF91AADF"/>
        </top>
        <bottom style="thin">
          <color rgb="FF91AADF"/>
        </bottom>
      </border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</dxfs>
  <tableStyles count="2" defaultTableStyle="TableStylePreset3_Accent1 1" defaultPivotStyle="PivotStylePreset2_Accent1 1">
    <tableStyle name="TableStylePreset3_Accent1 1" pivot="0" count="7" xr9:uid="{CACC2B3D-DBEF-476A-ACD5-10DE00FAD3D1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 1" table="0" count="10" xr9:uid="{8A7239BF-FA0F-4141-82F3-5ADBFABDD376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9" Type="http://schemas.openxmlformats.org/officeDocument/2006/relationships/image" Target="media/image105.png"/><Relationship Id="rId98" Type="http://schemas.openxmlformats.org/officeDocument/2006/relationships/image" Target="media/image104.jpeg"/><Relationship Id="rId97" Type="http://schemas.openxmlformats.org/officeDocument/2006/relationships/image" Target="media/image103.png"/><Relationship Id="rId96" Type="http://schemas.openxmlformats.org/officeDocument/2006/relationships/image" Target="media/image102.png"/><Relationship Id="rId95" Type="http://schemas.openxmlformats.org/officeDocument/2006/relationships/image" Target="media/image101.png"/><Relationship Id="rId94" Type="http://schemas.openxmlformats.org/officeDocument/2006/relationships/image" Target="media/image100.png"/><Relationship Id="rId93" Type="http://schemas.openxmlformats.org/officeDocument/2006/relationships/image" Target="media/image99.png"/><Relationship Id="rId92" Type="http://schemas.openxmlformats.org/officeDocument/2006/relationships/image" Target="media/image98.jpeg"/><Relationship Id="rId91" Type="http://schemas.openxmlformats.org/officeDocument/2006/relationships/image" Target="media/image97.png"/><Relationship Id="rId90" Type="http://schemas.openxmlformats.org/officeDocument/2006/relationships/image" Target="media/image96.png"/><Relationship Id="rId9" Type="http://schemas.openxmlformats.org/officeDocument/2006/relationships/image" Target="media/image15.jpeg"/><Relationship Id="rId89" Type="http://schemas.openxmlformats.org/officeDocument/2006/relationships/image" Target="media/image95.jpeg"/><Relationship Id="rId88" Type="http://schemas.openxmlformats.org/officeDocument/2006/relationships/image" Target="media/image94.png"/><Relationship Id="rId87" Type="http://schemas.openxmlformats.org/officeDocument/2006/relationships/image" Target="media/image93.jpeg"/><Relationship Id="rId86" Type="http://schemas.openxmlformats.org/officeDocument/2006/relationships/image" Target="media/image92.png"/><Relationship Id="rId85" Type="http://schemas.openxmlformats.org/officeDocument/2006/relationships/image" Target="media/image91.png"/><Relationship Id="rId84" Type="http://schemas.openxmlformats.org/officeDocument/2006/relationships/image" Target="media/image90.jpeg"/><Relationship Id="rId83" Type="http://schemas.openxmlformats.org/officeDocument/2006/relationships/image" Target="media/image89.png"/><Relationship Id="rId82" Type="http://schemas.openxmlformats.org/officeDocument/2006/relationships/image" Target="media/image88.png"/><Relationship Id="rId81" Type="http://schemas.openxmlformats.org/officeDocument/2006/relationships/image" Target="media/image87.png"/><Relationship Id="rId80" Type="http://schemas.openxmlformats.org/officeDocument/2006/relationships/image" Target="media/image86.png"/><Relationship Id="rId8" Type="http://schemas.openxmlformats.org/officeDocument/2006/relationships/image" Target="media/image14.jpeg"/><Relationship Id="rId79" Type="http://schemas.openxmlformats.org/officeDocument/2006/relationships/image" Target="media/image85.jpeg"/><Relationship Id="rId78" Type="http://schemas.openxmlformats.org/officeDocument/2006/relationships/image" Target="media/image84.png"/><Relationship Id="rId77" Type="http://schemas.openxmlformats.org/officeDocument/2006/relationships/image" Target="media/image83.png"/><Relationship Id="rId76" Type="http://schemas.openxmlformats.org/officeDocument/2006/relationships/image" Target="media/image82.jpeg"/><Relationship Id="rId75" Type="http://schemas.openxmlformats.org/officeDocument/2006/relationships/image" Target="media/image81.jpeg"/><Relationship Id="rId74" Type="http://schemas.openxmlformats.org/officeDocument/2006/relationships/image" Target="media/image80.png"/><Relationship Id="rId73" Type="http://schemas.openxmlformats.org/officeDocument/2006/relationships/image" Target="media/image79.png"/><Relationship Id="rId72" Type="http://schemas.openxmlformats.org/officeDocument/2006/relationships/image" Target="media/image78.jpeg"/><Relationship Id="rId71" Type="http://schemas.openxmlformats.org/officeDocument/2006/relationships/image" Target="media/image77.jpeg"/><Relationship Id="rId70" Type="http://schemas.openxmlformats.org/officeDocument/2006/relationships/image" Target="media/image76.png"/><Relationship Id="rId7" Type="http://schemas.openxmlformats.org/officeDocument/2006/relationships/image" Target="media/image13.jpeg"/><Relationship Id="rId69" Type="http://schemas.openxmlformats.org/officeDocument/2006/relationships/image" Target="media/image75.png"/><Relationship Id="rId68" Type="http://schemas.openxmlformats.org/officeDocument/2006/relationships/image" Target="media/image74.jpeg"/><Relationship Id="rId67" Type="http://schemas.openxmlformats.org/officeDocument/2006/relationships/image" Target="media/image73.jpeg"/><Relationship Id="rId66" Type="http://schemas.openxmlformats.org/officeDocument/2006/relationships/image" Target="media/image72.jpeg"/><Relationship Id="rId65" Type="http://schemas.openxmlformats.org/officeDocument/2006/relationships/image" Target="media/image71.png"/><Relationship Id="rId64" Type="http://schemas.openxmlformats.org/officeDocument/2006/relationships/image" Target="media/image70.png"/><Relationship Id="rId63" Type="http://schemas.openxmlformats.org/officeDocument/2006/relationships/image" Target="media/image69.jpeg"/><Relationship Id="rId62" Type="http://schemas.openxmlformats.org/officeDocument/2006/relationships/image" Target="media/image68.png"/><Relationship Id="rId61" Type="http://schemas.openxmlformats.org/officeDocument/2006/relationships/image" Target="media/image67.png"/><Relationship Id="rId60" Type="http://schemas.openxmlformats.org/officeDocument/2006/relationships/image" Target="media/image66.png"/><Relationship Id="rId6" Type="http://schemas.openxmlformats.org/officeDocument/2006/relationships/image" Target="media/image12.png"/><Relationship Id="rId59" Type="http://schemas.openxmlformats.org/officeDocument/2006/relationships/image" Target="media/image65.png"/><Relationship Id="rId58" Type="http://schemas.openxmlformats.org/officeDocument/2006/relationships/image" Target="media/image64.png"/><Relationship Id="rId57" Type="http://schemas.openxmlformats.org/officeDocument/2006/relationships/image" Target="media/image63.png"/><Relationship Id="rId56" Type="http://schemas.openxmlformats.org/officeDocument/2006/relationships/image" Target="media/image62.png"/><Relationship Id="rId55" Type="http://schemas.openxmlformats.org/officeDocument/2006/relationships/image" Target="media/image61.png"/><Relationship Id="rId54" Type="http://schemas.openxmlformats.org/officeDocument/2006/relationships/image" Target="media/image60.jpeg"/><Relationship Id="rId53" Type="http://schemas.openxmlformats.org/officeDocument/2006/relationships/image" Target="media/image59.jpeg"/><Relationship Id="rId52" Type="http://schemas.openxmlformats.org/officeDocument/2006/relationships/image" Target="media/image58.png"/><Relationship Id="rId51" Type="http://schemas.openxmlformats.org/officeDocument/2006/relationships/image" Target="media/image57.png"/><Relationship Id="rId50" Type="http://schemas.openxmlformats.org/officeDocument/2006/relationships/image" Target="media/image56.jpeg"/><Relationship Id="rId5" Type="http://schemas.openxmlformats.org/officeDocument/2006/relationships/image" Target="media/image11.jpeg"/><Relationship Id="rId49" Type="http://schemas.openxmlformats.org/officeDocument/2006/relationships/image" Target="media/image55.png"/><Relationship Id="rId48" Type="http://schemas.openxmlformats.org/officeDocument/2006/relationships/image" Target="media/image54.jpeg"/><Relationship Id="rId47" Type="http://schemas.openxmlformats.org/officeDocument/2006/relationships/image" Target="media/image53.png"/><Relationship Id="rId46" Type="http://schemas.openxmlformats.org/officeDocument/2006/relationships/image" Target="media/image52.png"/><Relationship Id="rId45" Type="http://schemas.openxmlformats.org/officeDocument/2006/relationships/image" Target="media/image51.png"/><Relationship Id="rId44" Type="http://schemas.openxmlformats.org/officeDocument/2006/relationships/image" Target="media/image50.png"/><Relationship Id="rId43" Type="http://schemas.openxmlformats.org/officeDocument/2006/relationships/image" Target="media/image49.png"/><Relationship Id="rId423" Type="http://schemas.openxmlformats.org/officeDocument/2006/relationships/image" Target="media/image429.jpeg"/><Relationship Id="rId422" Type="http://schemas.openxmlformats.org/officeDocument/2006/relationships/image" Target="media/image428.png"/><Relationship Id="rId421" Type="http://schemas.openxmlformats.org/officeDocument/2006/relationships/image" Target="media/image427.png"/><Relationship Id="rId420" Type="http://schemas.openxmlformats.org/officeDocument/2006/relationships/image" Target="media/image426.jpeg"/><Relationship Id="rId42" Type="http://schemas.openxmlformats.org/officeDocument/2006/relationships/image" Target="media/image48.jpeg"/><Relationship Id="rId419" Type="http://schemas.openxmlformats.org/officeDocument/2006/relationships/image" Target="media/image425.png"/><Relationship Id="rId418" Type="http://schemas.openxmlformats.org/officeDocument/2006/relationships/image" Target="media/image424.jpeg"/><Relationship Id="rId417" Type="http://schemas.openxmlformats.org/officeDocument/2006/relationships/image" Target="media/image423.png"/><Relationship Id="rId416" Type="http://schemas.openxmlformats.org/officeDocument/2006/relationships/image" Target="media/image422.png"/><Relationship Id="rId415" Type="http://schemas.openxmlformats.org/officeDocument/2006/relationships/image" Target="media/image421.png"/><Relationship Id="rId414" Type="http://schemas.openxmlformats.org/officeDocument/2006/relationships/image" Target="media/image420.png"/><Relationship Id="rId413" Type="http://schemas.openxmlformats.org/officeDocument/2006/relationships/image" Target="media/image419.jpeg"/><Relationship Id="rId412" Type="http://schemas.openxmlformats.org/officeDocument/2006/relationships/image" Target="media/image418.png"/><Relationship Id="rId411" Type="http://schemas.openxmlformats.org/officeDocument/2006/relationships/image" Target="media/image417.png"/><Relationship Id="rId410" Type="http://schemas.openxmlformats.org/officeDocument/2006/relationships/image" Target="media/image416.jpeg"/><Relationship Id="rId41" Type="http://schemas.openxmlformats.org/officeDocument/2006/relationships/image" Target="media/image47.png"/><Relationship Id="rId409" Type="http://schemas.openxmlformats.org/officeDocument/2006/relationships/image" Target="media/image415.png"/><Relationship Id="rId408" Type="http://schemas.openxmlformats.org/officeDocument/2006/relationships/image" Target="media/image414.png"/><Relationship Id="rId407" Type="http://schemas.openxmlformats.org/officeDocument/2006/relationships/image" Target="media/image413.jpeg"/><Relationship Id="rId406" Type="http://schemas.openxmlformats.org/officeDocument/2006/relationships/image" Target="media/image412.png"/><Relationship Id="rId405" Type="http://schemas.openxmlformats.org/officeDocument/2006/relationships/image" Target="media/image411.png"/><Relationship Id="rId404" Type="http://schemas.openxmlformats.org/officeDocument/2006/relationships/image" Target="media/image410.png"/><Relationship Id="rId403" Type="http://schemas.openxmlformats.org/officeDocument/2006/relationships/image" Target="media/image409.png"/><Relationship Id="rId402" Type="http://schemas.openxmlformats.org/officeDocument/2006/relationships/image" Target="media/image408.png"/><Relationship Id="rId401" Type="http://schemas.openxmlformats.org/officeDocument/2006/relationships/image" Target="media/image407.png"/><Relationship Id="rId400" Type="http://schemas.openxmlformats.org/officeDocument/2006/relationships/image" Target="media/image406.jpeg"/><Relationship Id="rId40" Type="http://schemas.openxmlformats.org/officeDocument/2006/relationships/image" Target="media/image46.png"/><Relationship Id="rId4" Type="http://schemas.openxmlformats.org/officeDocument/2006/relationships/image" Target="media/image10.png"/><Relationship Id="rId399" Type="http://schemas.openxmlformats.org/officeDocument/2006/relationships/image" Target="media/image405.png"/><Relationship Id="rId398" Type="http://schemas.openxmlformats.org/officeDocument/2006/relationships/image" Target="media/image404.png"/><Relationship Id="rId397" Type="http://schemas.openxmlformats.org/officeDocument/2006/relationships/image" Target="media/image403.png"/><Relationship Id="rId396" Type="http://schemas.openxmlformats.org/officeDocument/2006/relationships/image" Target="media/image402.png"/><Relationship Id="rId395" Type="http://schemas.openxmlformats.org/officeDocument/2006/relationships/image" Target="media/image401.png"/><Relationship Id="rId394" Type="http://schemas.openxmlformats.org/officeDocument/2006/relationships/image" Target="media/image400.png"/><Relationship Id="rId393" Type="http://schemas.openxmlformats.org/officeDocument/2006/relationships/image" Target="media/image399.png"/><Relationship Id="rId392" Type="http://schemas.openxmlformats.org/officeDocument/2006/relationships/image" Target="media/image398.png"/><Relationship Id="rId391" Type="http://schemas.openxmlformats.org/officeDocument/2006/relationships/image" Target="media/image397.png"/><Relationship Id="rId390" Type="http://schemas.openxmlformats.org/officeDocument/2006/relationships/image" Target="media/image396.png"/><Relationship Id="rId39" Type="http://schemas.openxmlformats.org/officeDocument/2006/relationships/image" Target="media/image45.png"/><Relationship Id="rId389" Type="http://schemas.openxmlformats.org/officeDocument/2006/relationships/image" Target="media/image395.jpeg"/><Relationship Id="rId388" Type="http://schemas.openxmlformats.org/officeDocument/2006/relationships/image" Target="media/image394.jpeg"/><Relationship Id="rId387" Type="http://schemas.openxmlformats.org/officeDocument/2006/relationships/image" Target="media/image393.jpeg"/><Relationship Id="rId386" Type="http://schemas.openxmlformats.org/officeDocument/2006/relationships/image" Target="media/image392.png"/><Relationship Id="rId385" Type="http://schemas.openxmlformats.org/officeDocument/2006/relationships/image" Target="media/image391.png"/><Relationship Id="rId384" Type="http://schemas.openxmlformats.org/officeDocument/2006/relationships/image" Target="media/image390.png"/><Relationship Id="rId383" Type="http://schemas.openxmlformats.org/officeDocument/2006/relationships/image" Target="media/image389.png"/><Relationship Id="rId382" Type="http://schemas.openxmlformats.org/officeDocument/2006/relationships/image" Target="media/image388.png"/><Relationship Id="rId381" Type="http://schemas.openxmlformats.org/officeDocument/2006/relationships/image" Target="media/image387.png"/><Relationship Id="rId380" Type="http://schemas.openxmlformats.org/officeDocument/2006/relationships/image" Target="media/image386.jpeg"/><Relationship Id="rId38" Type="http://schemas.openxmlformats.org/officeDocument/2006/relationships/image" Target="media/image44.png"/><Relationship Id="rId379" Type="http://schemas.openxmlformats.org/officeDocument/2006/relationships/image" Target="media/image385.jpeg"/><Relationship Id="rId378" Type="http://schemas.openxmlformats.org/officeDocument/2006/relationships/image" Target="media/image384.jpeg"/><Relationship Id="rId377" Type="http://schemas.openxmlformats.org/officeDocument/2006/relationships/image" Target="media/image383.png"/><Relationship Id="rId376" Type="http://schemas.openxmlformats.org/officeDocument/2006/relationships/image" Target="media/image382.png"/><Relationship Id="rId375" Type="http://schemas.openxmlformats.org/officeDocument/2006/relationships/image" Target="media/image381.png"/><Relationship Id="rId374" Type="http://schemas.openxmlformats.org/officeDocument/2006/relationships/image" Target="media/image380.png"/><Relationship Id="rId373" Type="http://schemas.openxmlformats.org/officeDocument/2006/relationships/image" Target="media/image379.png"/><Relationship Id="rId372" Type="http://schemas.openxmlformats.org/officeDocument/2006/relationships/image" Target="media/image378.png"/><Relationship Id="rId371" Type="http://schemas.openxmlformats.org/officeDocument/2006/relationships/image" Target="media/image377.png"/><Relationship Id="rId370" Type="http://schemas.openxmlformats.org/officeDocument/2006/relationships/image" Target="media/image376.jpeg"/><Relationship Id="rId37" Type="http://schemas.openxmlformats.org/officeDocument/2006/relationships/image" Target="media/image43.jpeg"/><Relationship Id="rId369" Type="http://schemas.openxmlformats.org/officeDocument/2006/relationships/image" Target="media/image375.jpeg"/><Relationship Id="rId368" Type="http://schemas.openxmlformats.org/officeDocument/2006/relationships/image" Target="media/image374.jpeg"/><Relationship Id="rId367" Type="http://schemas.openxmlformats.org/officeDocument/2006/relationships/image" Target="media/image373.png"/><Relationship Id="rId366" Type="http://schemas.openxmlformats.org/officeDocument/2006/relationships/image" Target="media/image372.png"/><Relationship Id="rId365" Type="http://schemas.openxmlformats.org/officeDocument/2006/relationships/image" Target="media/image371.png"/><Relationship Id="rId364" Type="http://schemas.openxmlformats.org/officeDocument/2006/relationships/image" Target="media/image370.jpeg"/><Relationship Id="rId363" Type="http://schemas.openxmlformats.org/officeDocument/2006/relationships/image" Target="media/image369.png"/><Relationship Id="rId362" Type="http://schemas.openxmlformats.org/officeDocument/2006/relationships/image" Target="media/image368.png"/><Relationship Id="rId361" Type="http://schemas.openxmlformats.org/officeDocument/2006/relationships/image" Target="media/image367.png"/><Relationship Id="rId360" Type="http://schemas.openxmlformats.org/officeDocument/2006/relationships/image" Target="media/image366.png"/><Relationship Id="rId36" Type="http://schemas.openxmlformats.org/officeDocument/2006/relationships/image" Target="media/image42.png"/><Relationship Id="rId359" Type="http://schemas.openxmlformats.org/officeDocument/2006/relationships/image" Target="media/image365.jpeg"/><Relationship Id="rId358" Type="http://schemas.openxmlformats.org/officeDocument/2006/relationships/image" Target="media/image364.png"/><Relationship Id="rId357" Type="http://schemas.openxmlformats.org/officeDocument/2006/relationships/image" Target="media/image363.jpeg"/><Relationship Id="rId356" Type="http://schemas.openxmlformats.org/officeDocument/2006/relationships/image" Target="media/image362.png"/><Relationship Id="rId355" Type="http://schemas.openxmlformats.org/officeDocument/2006/relationships/image" Target="media/image361.png"/><Relationship Id="rId354" Type="http://schemas.openxmlformats.org/officeDocument/2006/relationships/image" Target="media/image360.jpeg"/><Relationship Id="rId353" Type="http://schemas.openxmlformats.org/officeDocument/2006/relationships/image" Target="media/image359.jpeg"/><Relationship Id="rId352" Type="http://schemas.openxmlformats.org/officeDocument/2006/relationships/image" Target="media/image358.jpeg"/><Relationship Id="rId351" Type="http://schemas.openxmlformats.org/officeDocument/2006/relationships/image" Target="media/image357.png"/><Relationship Id="rId350" Type="http://schemas.openxmlformats.org/officeDocument/2006/relationships/image" Target="media/image356.png"/><Relationship Id="rId35" Type="http://schemas.openxmlformats.org/officeDocument/2006/relationships/image" Target="media/image41.png"/><Relationship Id="rId349" Type="http://schemas.openxmlformats.org/officeDocument/2006/relationships/image" Target="media/image355.png"/><Relationship Id="rId348" Type="http://schemas.openxmlformats.org/officeDocument/2006/relationships/image" Target="media/image354.jpeg"/><Relationship Id="rId347" Type="http://schemas.openxmlformats.org/officeDocument/2006/relationships/image" Target="media/image353.png"/><Relationship Id="rId346" Type="http://schemas.openxmlformats.org/officeDocument/2006/relationships/image" Target="media/image352.jpeg"/><Relationship Id="rId345" Type="http://schemas.openxmlformats.org/officeDocument/2006/relationships/image" Target="media/image351.png"/><Relationship Id="rId344" Type="http://schemas.openxmlformats.org/officeDocument/2006/relationships/image" Target="media/image350.jpeg"/><Relationship Id="rId343" Type="http://schemas.openxmlformats.org/officeDocument/2006/relationships/image" Target="media/image349.jpeg"/><Relationship Id="rId342" Type="http://schemas.openxmlformats.org/officeDocument/2006/relationships/image" Target="media/image348.jpeg"/><Relationship Id="rId341" Type="http://schemas.openxmlformats.org/officeDocument/2006/relationships/image" Target="media/image347.png"/><Relationship Id="rId340" Type="http://schemas.openxmlformats.org/officeDocument/2006/relationships/image" Target="media/image346.png"/><Relationship Id="rId34" Type="http://schemas.openxmlformats.org/officeDocument/2006/relationships/image" Target="media/image40.png"/><Relationship Id="rId339" Type="http://schemas.openxmlformats.org/officeDocument/2006/relationships/image" Target="media/image345.png"/><Relationship Id="rId338" Type="http://schemas.openxmlformats.org/officeDocument/2006/relationships/image" Target="media/image344.png"/><Relationship Id="rId337" Type="http://schemas.openxmlformats.org/officeDocument/2006/relationships/image" Target="media/image343.png"/><Relationship Id="rId336" Type="http://schemas.openxmlformats.org/officeDocument/2006/relationships/image" Target="media/image342.png"/><Relationship Id="rId335" Type="http://schemas.openxmlformats.org/officeDocument/2006/relationships/image" Target="media/image341.jpeg"/><Relationship Id="rId334" Type="http://schemas.openxmlformats.org/officeDocument/2006/relationships/image" Target="media/image340.jpeg"/><Relationship Id="rId333" Type="http://schemas.openxmlformats.org/officeDocument/2006/relationships/image" Target="media/image339.jpeg"/><Relationship Id="rId332" Type="http://schemas.openxmlformats.org/officeDocument/2006/relationships/image" Target="media/image338.png"/><Relationship Id="rId331" Type="http://schemas.openxmlformats.org/officeDocument/2006/relationships/image" Target="media/image337.png"/><Relationship Id="rId330" Type="http://schemas.openxmlformats.org/officeDocument/2006/relationships/image" Target="media/image336.png"/><Relationship Id="rId33" Type="http://schemas.openxmlformats.org/officeDocument/2006/relationships/image" Target="media/image39.png"/><Relationship Id="rId329" Type="http://schemas.openxmlformats.org/officeDocument/2006/relationships/image" Target="media/image335.jpeg"/><Relationship Id="rId328" Type="http://schemas.openxmlformats.org/officeDocument/2006/relationships/image" Target="media/image334.png"/><Relationship Id="rId327" Type="http://schemas.openxmlformats.org/officeDocument/2006/relationships/image" Target="media/image333.png"/><Relationship Id="rId326" Type="http://schemas.openxmlformats.org/officeDocument/2006/relationships/image" Target="media/image332.jpeg"/><Relationship Id="rId325" Type="http://schemas.openxmlformats.org/officeDocument/2006/relationships/image" Target="media/image331.png"/><Relationship Id="rId324" Type="http://schemas.openxmlformats.org/officeDocument/2006/relationships/image" Target="media/image330.png"/><Relationship Id="rId323" Type="http://schemas.openxmlformats.org/officeDocument/2006/relationships/image" Target="media/image329.png"/><Relationship Id="rId322" Type="http://schemas.openxmlformats.org/officeDocument/2006/relationships/image" Target="media/image328.png"/><Relationship Id="rId321" Type="http://schemas.openxmlformats.org/officeDocument/2006/relationships/image" Target="media/image327.png"/><Relationship Id="rId320" Type="http://schemas.openxmlformats.org/officeDocument/2006/relationships/image" Target="media/image326.png"/><Relationship Id="rId32" Type="http://schemas.openxmlformats.org/officeDocument/2006/relationships/image" Target="media/image38.jpeg"/><Relationship Id="rId319" Type="http://schemas.openxmlformats.org/officeDocument/2006/relationships/image" Target="media/image325.jpeg"/><Relationship Id="rId318" Type="http://schemas.openxmlformats.org/officeDocument/2006/relationships/image" Target="media/image324.jpeg"/><Relationship Id="rId317" Type="http://schemas.openxmlformats.org/officeDocument/2006/relationships/image" Target="media/image323.png"/><Relationship Id="rId316" Type="http://schemas.openxmlformats.org/officeDocument/2006/relationships/image" Target="media/image322.png"/><Relationship Id="rId315" Type="http://schemas.openxmlformats.org/officeDocument/2006/relationships/image" Target="media/image321.jpeg"/><Relationship Id="rId314" Type="http://schemas.openxmlformats.org/officeDocument/2006/relationships/image" Target="media/image320.png"/><Relationship Id="rId313" Type="http://schemas.openxmlformats.org/officeDocument/2006/relationships/image" Target="media/image319.png"/><Relationship Id="rId312" Type="http://schemas.openxmlformats.org/officeDocument/2006/relationships/image" Target="media/image318.jpeg"/><Relationship Id="rId311" Type="http://schemas.openxmlformats.org/officeDocument/2006/relationships/image" Target="media/image317.jpeg"/><Relationship Id="rId310" Type="http://schemas.openxmlformats.org/officeDocument/2006/relationships/image" Target="media/image316.png"/><Relationship Id="rId31" Type="http://schemas.openxmlformats.org/officeDocument/2006/relationships/image" Target="media/image37.jpeg"/><Relationship Id="rId309" Type="http://schemas.openxmlformats.org/officeDocument/2006/relationships/image" Target="media/image315.png"/><Relationship Id="rId308" Type="http://schemas.openxmlformats.org/officeDocument/2006/relationships/image" Target="media/image314.png"/><Relationship Id="rId307" Type="http://schemas.openxmlformats.org/officeDocument/2006/relationships/image" Target="media/image313.jpeg"/><Relationship Id="rId306" Type="http://schemas.openxmlformats.org/officeDocument/2006/relationships/image" Target="media/image312.jpeg"/><Relationship Id="rId305" Type="http://schemas.openxmlformats.org/officeDocument/2006/relationships/image" Target="media/image311.png"/><Relationship Id="rId304" Type="http://schemas.openxmlformats.org/officeDocument/2006/relationships/image" Target="media/image310.jpeg"/><Relationship Id="rId303" Type="http://schemas.openxmlformats.org/officeDocument/2006/relationships/image" Target="media/image309.png"/><Relationship Id="rId302" Type="http://schemas.openxmlformats.org/officeDocument/2006/relationships/image" Target="media/image308.jpeg"/><Relationship Id="rId301" Type="http://schemas.openxmlformats.org/officeDocument/2006/relationships/image" Target="media/image307.png"/><Relationship Id="rId300" Type="http://schemas.openxmlformats.org/officeDocument/2006/relationships/image" Target="media/image306.jpeg"/><Relationship Id="rId30" Type="http://schemas.openxmlformats.org/officeDocument/2006/relationships/image" Target="media/image36.png"/><Relationship Id="rId3" Type="http://schemas.openxmlformats.org/officeDocument/2006/relationships/image" Target="media/image9.png"/><Relationship Id="rId299" Type="http://schemas.openxmlformats.org/officeDocument/2006/relationships/image" Target="media/image305.png"/><Relationship Id="rId298" Type="http://schemas.openxmlformats.org/officeDocument/2006/relationships/image" Target="media/image304.png"/><Relationship Id="rId297" Type="http://schemas.openxmlformats.org/officeDocument/2006/relationships/image" Target="media/image303.jpeg"/><Relationship Id="rId296" Type="http://schemas.openxmlformats.org/officeDocument/2006/relationships/image" Target="media/image302.png"/><Relationship Id="rId295" Type="http://schemas.openxmlformats.org/officeDocument/2006/relationships/image" Target="media/image301.png"/><Relationship Id="rId294" Type="http://schemas.openxmlformats.org/officeDocument/2006/relationships/image" Target="media/image300.png"/><Relationship Id="rId293" Type="http://schemas.openxmlformats.org/officeDocument/2006/relationships/image" Target="media/image299.png"/><Relationship Id="rId292" Type="http://schemas.openxmlformats.org/officeDocument/2006/relationships/image" Target="media/image298.png"/><Relationship Id="rId291" Type="http://schemas.openxmlformats.org/officeDocument/2006/relationships/image" Target="media/image297.png"/><Relationship Id="rId290" Type="http://schemas.openxmlformats.org/officeDocument/2006/relationships/image" Target="media/image296.png"/><Relationship Id="rId29" Type="http://schemas.openxmlformats.org/officeDocument/2006/relationships/image" Target="media/image35.png"/><Relationship Id="rId289" Type="http://schemas.openxmlformats.org/officeDocument/2006/relationships/image" Target="media/image295.png"/><Relationship Id="rId288" Type="http://schemas.openxmlformats.org/officeDocument/2006/relationships/image" Target="media/image294.png"/><Relationship Id="rId287" Type="http://schemas.openxmlformats.org/officeDocument/2006/relationships/image" Target="media/image293.png"/><Relationship Id="rId286" Type="http://schemas.openxmlformats.org/officeDocument/2006/relationships/image" Target="media/image292.jpeg"/><Relationship Id="rId285" Type="http://schemas.openxmlformats.org/officeDocument/2006/relationships/image" Target="media/image291.png"/><Relationship Id="rId284" Type="http://schemas.openxmlformats.org/officeDocument/2006/relationships/image" Target="media/image290.png"/><Relationship Id="rId283" Type="http://schemas.openxmlformats.org/officeDocument/2006/relationships/image" Target="media/image289.jpeg"/><Relationship Id="rId282" Type="http://schemas.openxmlformats.org/officeDocument/2006/relationships/image" Target="media/image288.png"/><Relationship Id="rId281" Type="http://schemas.openxmlformats.org/officeDocument/2006/relationships/image" Target="media/image287.jpeg"/><Relationship Id="rId280" Type="http://schemas.openxmlformats.org/officeDocument/2006/relationships/image" Target="media/image286.jpeg"/><Relationship Id="rId28" Type="http://schemas.openxmlformats.org/officeDocument/2006/relationships/image" Target="media/image34.jpeg"/><Relationship Id="rId279" Type="http://schemas.openxmlformats.org/officeDocument/2006/relationships/image" Target="media/image285.png"/><Relationship Id="rId278" Type="http://schemas.openxmlformats.org/officeDocument/2006/relationships/image" Target="media/image284.png"/><Relationship Id="rId277" Type="http://schemas.openxmlformats.org/officeDocument/2006/relationships/image" Target="media/image283.jpeg"/><Relationship Id="rId276" Type="http://schemas.openxmlformats.org/officeDocument/2006/relationships/image" Target="media/image282.jpeg"/><Relationship Id="rId275" Type="http://schemas.openxmlformats.org/officeDocument/2006/relationships/image" Target="media/image281.jpeg"/><Relationship Id="rId274" Type="http://schemas.openxmlformats.org/officeDocument/2006/relationships/image" Target="media/image280.jpeg"/><Relationship Id="rId273" Type="http://schemas.openxmlformats.org/officeDocument/2006/relationships/image" Target="media/image279.png"/><Relationship Id="rId272" Type="http://schemas.openxmlformats.org/officeDocument/2006/relationships/image" Target="media/image278.png"/><Relationship Id="rId271" Type="http://schemas.openxmlformats.org/officeDocument/2006/relationships/image" Target="media/image277.jpeg"/><Relationship Id="rId270" Type="http://schemas.openxmlformats.org/officeDocument/2006/relationships/image" Target="media/image276.png"/><Relationship Id="rId27" Type="http://schemas.openxmlformats.org/officeDocument/2006/relationships/image" Target="media/image33.jpeg"/><Relationship Id="rId269" Type="http://schemas.openxmlformats.org/officeDocument/2006/relationships/image" Target="media/image275.jpeg"/><Relationship Id="rId268" Type="http://schemas.openxmlformats.org/officeDocument/2006/relationships/image" Target="media/image274.png"/><Relationship Id="rId267" Type="http://schemas.openxmlformats.org/officeDocument/2006/relationships/image" Target="media/image273.png"/><Relationship Id="rId266" Type="http://schemas.openxmlformats.org/officeDocument/2006/relationships/image" Target="media/image272.png"/><Relationship Id="rId265" Type="http://schemas.openxmlformats.org/officeDocument/2006/relationships/image" Target="media/image271.png"/><Relationship Id="rId264" Type="http://schemas.openxmlformats.org/officeDocument/2006/relationships/image" Target="media/image270.png"/><Relationship Id="rId263" Type="http://schemas.openxmlformats.org/officeDocument/2006/relationships/image" Target="media/image269.png"/><Relationship Id="rId262" Type="http://schemas.openxmlformats.org/officeDocument/2006/relationships/image" Target="media/image268.png"/><Relationship Id="rId261" Type="http://schemas.openxmlformats.org/officeDocument/2006/relationships/image" Target="media/image267.jpeg"/><Relationship Id="rId260" Type="http://schemas.openxmlformats.org/officeDocument/2006/relationships/image" Target="media/image266.png"/><Relationship Id="rId26" Type="http://schemas.openxmlformats.org/officeDocument/2006/relationships/image" Target="media/image32.jpeg"/><Relationship Id="rId259" Type="http://schemas.openxmlformats.org/officeDocument/2006/relationships/image" Target="media/image265.png"/><Relationship Id="rId258" Type="http://schemas.openxmlformats.org/officeDocument/2006/relationships/image" Target="media/image264.png"/><Relationship Id="rId257" Type="http://schemas.openxmlformats.org/officeDocument/2006/relationships/image" Target="media/image263.jpeg"/><Relationship Id="rId256" Type="http://schemas.openxmlformats.org/officeDocument/2006/relationships/image" Target="media/image262.png"/><Relationship Id="rId255" Type="http://schemas.openxmlformats.org/officeDocument/2006/relationships/image" Target="media/image261.png"/><Relationship Id="rId254" Type="http://schemas.openxmlformats.org/officeDocument/2006/relationships/image" Target="media/image260.jpeg"/><Relationship Id="rId253" Type="http://schemas.openxmlformats.org/officeDocument/2006/relationships/image" Target="media/image259.png"/><Relationship Id="rId252" Type="http://schemas.openxmlformats.org/officeDocument/2006/relationships/image" Target="media/image258.png"/><Relationship Id="rId251" Type="http://schemas.openxmlformats.org/officeDocument/2006/relationships/image" Target="media/image257.png"/><Relationship Id="rId250" Type="http://schemas.openxmlformats.org/officeDocument/2006/relationships/image" Target="media/image256.jpeg"/><Relationship Id="rId25" Type="http://schemas.openxmlformats.org/officeDocument/2006/relationships/image" Target="media/image31.png"/><Relationship Id="rId249" Type="http://schemas.openxmlformats.org/officeDocument/2006/relationships/image" Target="media/image255.jpeg"/><Relationship Id="rId248" Type="http://schemas.openxmlformats.org/officeDocument/2006/relationships/image" Target="media/image254.png"/><Relationship Id="rId247" Type="http://schemas.openxmlformats.org/officeDocument/2006/relationships/image" Target="media/image253.png"/><Relationship Id="rId246" Type="http://schemas.openxmlformats.org/officeDocument/2006/relationships/image" Target="media/image252.png"/><Relationship Id="rId245" Type="http://schemas.openxmlformats.org/officeDocument/2006/relationships/image" Target="media/image251.png"/><Relationship Id="rId244" Type="http://schemas.openxmlformats.org/officeDocument/2006/relationships/image" Target="media/image250.png"/><Relationship Id="rId243" Type="http://schemas.openxmlformats.org/officeDocument/2006/relationships/image" Target="media/image249.jpeg"/><Relationship Id="rId242" Type="http://schemas.openxmlformats.org/officeDocument/2006/relationships/image" Target="media/image248.png"/><Relationship Id="rId241" Type="http://schemas.openxmlformats.org/officeDocument/2006/relationships/image" Target="media/image247.jpeg"/><Relationship Id="rId240" Type="http://schemas.openxmlformats.org/officeDocument/2006/relationships/image" Target="media/image246.png"/><Relationship Id="rId24" Type="http://schemas.openxmlformats.org/officeDocument/2006/relationships/image" Target="media/image30.jpeg"/><Relationship Id="rId239" Type="http://schemas.openxmlformats.org/officeDocument/2006/relationships/image" Target="media/image245.png"/><Relationship Id="rId238" Type="http://schemas.openxmlformats.org/officeDocument/2006/relationships/image" Target="media/image244.jpeg"/><Relationship Id="rId237" Type="http://schemas.openxmlformats.org/officeDocument/2006/relationships/image" Target="media/image243.png"/><Relationship Id="rId236" Type="http://schemas.openxmlformats.org/officeDocument/2006/relationships/image" Target="media/image242.jpeg"/><Relationship Id="rId235" Type="http://schemas.openxmlformats.org/officeDocument/2006/relationships/image" Target="media/image241.png"/><Relationship Id="rId234" Type="http://schemas.openxmlformats.org/officeDocument/2006/relationships/image" Target="media/image240.jpeg"/><Relationship Id="rId233" Type="http://schemas.openxmlformats.org/officeDocument/2006/relationships/image" Target="media/image239.jpeg"/><Relationship Id="rId232" Type="http://schemas.openxmlformats.org/officeDocument/2006/relationships/image" Target="media/image238.png"/><Relationship Id="rId231" Type="http://schemas.openxmlformats.org/officeDocument/2006/relationships/image" Target="media/image237.png"/><Relationship Id="rId230" Type="http://schemas.openxmlformats.org/officeDocument/2006/relationships/image" Target="media/image236.png"/><Relationship Id="rId23" Type="http://schemas.openxmlformats.org/officeDocument/2006/relationships/image" Target="media/image29.png"/><Relationship Id="rId229" Type="http://schemas.openxmlformats.org/officeDocument/2006/relationships/image" Target="media/image235.png"/><Relationship Id="rId228" Type="http://schemas.openxmlformats.org/officeDocument/2006/relationships/image" Target="media/image234.jpeg"/><Relationship Id="rId227" Type="http://schemas.openxmlformats.org/officeDocument/2006/relationships/image" Target="media/image233.jpeg"/><Relationship Id="rId226" Type="http://schemas.openxmlformats.org/officeDocument/2006/relationships/image" Target="media/image232.png"/><Relationship Id="rId225" Type="http://schemas.openxmlformats.org/officeDocument/2006/relationships/image" Target="media/image231.png"/><Relationship Id="rId224" Type="http://schemas.openxmlformats.org/officeDocument/2006/relationships/image" Target="media/image230.png"/><Relationship Id="rId223" Type="http://schemas.openxmlformats.org/officeDocument/2006/relationships/image" Target="media/image229.jpeg"/><Relationship Id="rId222" Type="http://schemas.openxmlformats.org/officeDocument/2006/relationships/image" Target="media/image228.jpeg"/><Relationship Id="rId221" Type="http://schemas.openxmlformats.org/officeDocument/2006/relationships/image" Target="media/image227.png"/><Relationship Id="rId220" Type="http://schemas.openxmlformats.org/officeDocument/2006/relationships/image" Target="media/image226.jpeg"/><Relationship Id="rId22" Type="http://schemas.openxmlformats.org/officeDocument/2006/relationships/image" Target="media/image28.jpeg"/><Relationship Id="rId219" Type="http://schemas.openxmlformats.org/officeDocument/2006/relationships/image" Target="media/image225.jpeg"/><Relationship Id="rId218" Type="http://schemas.openxmlformats.org/officeDocument/2006/relationships/image" Target="media/image224.png"/><Relationship Id="rId217" Type="http://schemas.openxmlformats.org/officeDocument/2006/relationships/image" Target="media/image223.png"/><Relationship Id="rId216" Type="http://schemas.openxmlformats.org/officeDocument/2006/relationships/image" Target="media/image222.jpeg"/><Relationship Id="rId215" Type="http://schemas.openxmlformats.org/officeDocument/2006/relationships/image" Target="media/image221.jpeg"/><Relationship Id="rId214" Type="http://schemas.openxmlformats.org/officeDocument/2006/relationships/image" Target="media/image220.jpeg"/><Relationship Id="rId213" Type="http://schemas.openxmlformats.org/officeDocument/2006/relationships/image" Target="media/image219.png"/><Relationship Id="rId212" Type="http://schemas.openxmlformats.org/officeDocument/2006/relationships/image" Target="media/image218.jpeg"/><Relationship Id="rId211" Type="http://schemas.openxmlformats.org/officeDocument/2006/relationships/image" Target="media/image217.jpeg"/><Relationship Id="rId210" Type="http://schemas.openxmlformats.org/officeDocument/2006/relationships/image" Target="media/image216.png"/><Relationship Id="rId21" Type="http://schemas.openxmlformats.org/officeDocument/2006/relationships/image" Target="media/image27.jpeg"/><Relationship Id="rId209" Type="http://schemas.openxmlformats.org/officeDocument/2006/relationships/image" Target="media/image215.jpeg"/><Relationship Id="rId208" Type="http://schemas.openxmlformats.org/officeDocument/2006/relationships/image" Target="media/image214.jpeg"/><Relationship Id="rId207" Type="http://schemas.openxmlformats.org/officeDocument/2006/relationships/image" Target="media/image213.png"/><Relationship Id="rId206" Type="http://schemas.openxmlformats.org/officeDocument/2006/relationships/image" Target="media/image212.png"/><Relationship Id="rId205" Type="http://schemas.openxmlformats.org/officeDocument/2006/relationships/image" Target="media/image211.png"/><Relationship Id="rId204" Type="http://schemas.openxmlformats.org/officeDocument/2006/relationships/image" Target="media/image210.png"/><Relationship Id="rId203" Type="http://schemas.openxmlformats.org/officeDocument/2006/relationships/image" Target="media/image209.png"/><Relationship Id="rId202" Type="http://schemas.openxmlformats.org/officeDocument/2006/relationships/image" Target="media/image208.png"/><Relationship Id="rId201" Type="http://schemas.openxmlformats.org/officeDocument/2006/relationships/image" Target="media/image207.jpeg"/><Relationship Id="rId200" Type="http://schemas.openxmlformats.org/officeDocument/2006/relationships/image" Target="media/image206.png"/><Relationship Id="rId20" Type="http://schemas.openxmlformats.org/officeDocument/2006/relationships/image" Target="media/image26.jpeg"/><Relationship Id="rId2" Type="http://schemas.openxmlformats.org/officeDocument/2006/relationships/image" Target="media/image8.png"/><Relationship Id="rId199" Type="http://schemas.openxmlformats.org/officeDocument/2006/relationships/image" Target="media/image205.png"/><Relationship Id="rId198" Type="http://schemas.openxmlformats.org/officeDocument/2006/relationships/image" Target="media/image204.jpeg"/><Relationship Id="rId197" Type="http://schemas.openxmlformats.org/officeDocument/2006/relationships/image" Target="media/image203.jpeg"/><Relationship Id="rId196" Type="http://schemas.openxmlformats.org/officeDocument/2006/relationships/image" Target="media/image202.png"/><Relationship Id="rId195" Type="http://schemas.openxmlformats.org/officeDocument/2006/relationships/image" Target="media/image201.png"/><Relationship Id="rId194" Type="http://schemas.openxmlformats.org/officeDocument/2006/relationships/image" Target="media/image200.png"/><Relationship Id="rId193" Type="http://schemas.openxmlformats.org/officeDocument/2006/relationships/image" Target="media/image199.png"/><Relationship Id="rId192" Type="http://schemas.openxmlformats.org/officeDocument/2006/relationships/image" Target="media/image198.jpeg"/><Relationship Id="rId191" Type="http://schemas.openxmlformats.org/officeDocument/2006/relationships/image" Target="media/image197.png"/><Relationship Id="rId190" Type="http://schemas.openxmlformats.org/officeDocument/2006/relationships/image" Target="media/image196.png"/><Relationship Id="rId19" Type="http://schemas.openxmlformats.org/officeDocument/2006/relationships/image" Target="media/image25.png"/><Relationship Id="rId189" Type="http://schemas.openxmlformats.org/officeDocument/2006/relationships/image" Target="media/image195.jpeg"/><Relationship Id="rId188" Type="http://schemas.openxmlformats.org/officeDocument/2006/relationships/image" Target="media/image194.png"/><Relationship Id="rId187" Type="http://schemas.openxmlformats.org/officeDocument/2006/relationships/image" Target="media/image193.jpeg"/><Relationship Id="rId186" Type="http://schemas.openxmlformats.org/officeDocument/2006/relationships/image" Target="media/image192.jpeg"/><Relationship Id="rId185" Type="http://schemas.openxmlformats.org/officeDocument/2006/relationships/image" Target="media/image191.png"/><Relationship Id="rId184" Type="http://schemas.openxmlformats.org/officeDocument/2006/relationships/image" Target="media/image190.jpeg"/><Relationship Id="rId183" Type="http://schemas.openxmlformats.org/officeDocument/2006/relationships/image" Target="media/image189.jpeg"/><Relationship Id="rId182" Type="http://schemas.openxmlformats.org/officeDocument/2006/relationships/image" Target="media/image188.jpeg"/><Relationship Id="rId181" Type="http://schemas.openxmlformats.org/officeDocument/2006/relationships/image" Target="media/image187.png"/><Relationship Id="rId180" Type="http://schemas.openxmlformats.org/officeDocument/2006/relationships/image" Target="media/image186.png"/><Relationship Id="rId18" Type="http://schemas.openxmlformats.org/officeDocument/2006/relationships/image" Target="media/image24.jpeg"/><Relationship Id="rId179" Type="http://schemas.openxmlformats.org/officeDocument/2006/relationships/image" Target="media/image185.png"/><Relationship Id="rId178" Type="http://schemas.openxmlformats.org/officeDocument/2006/relationships/image" Target="media/image184.png"/><Relationship Id="rId177" Type="http://schemas.openxmlformats.org/officeDocument/2006/relationships/image" Target="media/image183.png"/><Relationship Id="rId176" Type="http://schemas.openxmlformats.org/officeDocument/2006/relationships/image" Target="media/image182.png"/><Relationship Id="rId175" Type="http://schemas.openxmlformats.org/officeDocument/2006/relationships/image" Target="media/image181.png"/><Relationship Id="rId174" Type="http://schemas.openxmlformats.org/officeDocument/2006/relationships/image" Target="media/image180.png"/><Relationship Id="rId173" Type="http://schemas.openxmlformats.org/officeDocument/2006/relationships/image" Target="media/image179.png"/><Relationship Id="rId172" Type="http://schemas.openxmlformats.org/officeDocument/2006/relationships/image" Target="media/image178.png"/><Relationship Id="rId171" Type="http://schemas.openxmlformats.org/officeDocument/2006/relationships/image" Target="media/image177.jpeg"/><Relationship Id="rId170" Type="http://schemas.openxmlformats.org/officeDocument/2006/relationships/image" Target="media/image176.png"/><Relationship Id="rId17" Type="http://schemas.openxmlformats.org/officeDocument/2006/relationships/image" Target="media/image23.png"/><Relationship Id="rId169" Type="http://schemas.openxmlformats.org/officeDocument/2006/relationships/image" Target="media/image175.png"/><Relationship Id="rId168" Type="http://schemas.openxmlformats.org/officeDocument/2006/relationships/image" Target="media/image174.jpeg"/><Relationship Id="rId167" Type="http://schemas.openxmlformats.org/officeDocument/2006/relationships/image" Target="media/image173.jpeg"/><Relationship Id="rId166" Type="http://schemas.openxmlformats.org/officeDocument/2006/relationships/image" Target="media/image172.png"/><Relationship Id="rId165" Type="http://schemas.openxmlformats.org/officeDocument/2006/relationships/image" Target="media/image171.png"/><Relationship Id="rId164" Type="http://schemas.openxmlformats.org/officeDocument/2006/relationships/image" Target="media/image170.png"/><Relationship Id="rId163" Type="http://schemas.openxmlformats.org/officeDocument/2006/relationships/image" Target="media/image169.png"/><Relationship Id="rId162" Type="http://schemas.openxmlformats.org/officeDocument/2006/relationships/image" Target="media/image168.png"/><Relationship Id="rId161" Type="http://schemas.openxmlformats.org/officeDocument/2006/relationships/image" Target="media/image167.jpeg"/><Relationship Id="rId160" Type="http://schemas.openxmlformats.org/officeDocument/2006/relationships/image" Target="media/image166.jpeg"/><Relationship Id="rId16" Type="http://schemas.openxmlformats.org/officeDocument/2006/relationships/image" Target="media/image22.jpeg"/><Relationship Id="rId159" Type="http://schemas.openxmlformats.org/officeDocument/2006/relationships/image" Target="media/image165.png"/><Relationship Id="rId158" Type="http://schemas.openxmlformats.org/officeDocument/2006/relationships/image" Target="media/image164.png"/><Relationship Id="rId157" Type="http://schemas.openxmlformats.org/officeDocument/2006/relationships/image" Target="media/image163.jpeg"/><Relationship Id="rId156" Type="http://schemas.openxmlformats.org/officeDocument/2006/relationships/image" Target="media/image162.png"/><Relationship Id="rId155" Type="http://schemas.openxmlformats.org/officeDocument/2006/relationships/image" Target="media/image161.png"/><Relationship Id="rId154" Type="http://schemas.openxmlformats.org/officeDocument/2006/relationships/image" Target="media/image160.png"/><Relationship Id="rId153" Type="http://schemas.openxmlformats.org/officeDocument/2006/relationships/image" Target="media/image159.jpeg"/><Relationship Id="rId152" Type="http://schemas.openxmlformats.org/officeDocument/2006/relationships/image" Target="media/image158.png"/><Relationship Id="rId151" Type="http://schemas.openxmlformats.org/officeDocument/2006/relationships/image" Target="media/image157.png"/><Relationship Id="rId150" Type="http://schemas.openxmlformats.org/officeDocument/2006/relationships/image" Target="media/image156.jpeg"/><Relationship Id="rId15" Type="http://schemas.openxmlformats.org/officeDocument/2006/relationships/image" Target="media/image21.jpeg"/><Relationship Id="rId149" Type="http://schemas.openxmlformats.org/officeDocument/2006/relationships/image" Target="media/image155.png"/><Relationship Id="rId148" Type="http://schemas.openxmlformats.org/officeDocument/2006/relationships/image" Target="media/image154.png"/><Relationship Id="rId147" Type="http://schemas.openxmlformats.org/officeDocument/2006/relationships/image" Target="media/image153.png"/><Relationship Id="rId146" Type="http://schemas.openxmlformats.org/officeDocument/2006/relationships/image" Target="media/image152.png"/><Relationship Id="rId145" Type="http://schemas.openxmlformats.org/officeDocument/2006/relationships/image" Target="media/image151.png"/><Relationship Id="rId144" Type="http://schemas.openxmlformats.org/officeDocument/2006/relationships/image" Target="media/image150.png"/><Relationship Id="rId143" Type="http://schemas.openxmlformats.org/officeDocument/2006/relationships/image" Target="media/image149.png"/><Relationship Id="rId142" Type="http://schemas.openxmlformats.org/officeDocument/2006/relationships/image" Target="media/image148.jpeg"/><Relationship Id="rId141" Type="http://schemas.openxmlformats.org/officeDocument/2006/relationships/image" Target="media/image147.png"/><Relationship Id="rId140" Type="http://schemas.openxmlformats.org/officeDocument/2006/relationships/image" Target="media/image146.jpeg"/><Relationship Id="rId14" Type="http://schemas.openxmlformats.org/officeDocument/2006/relationships/image" Target="media/image20.png"/><Relationship Id="rId139" Type="http://schemas.openxmlformats.org/officeDocument/2006/relationships/image" Target="media/image145.png"/><Relationship Id="rId138" Type="http://schemas.openxmlformats.org/officeDocument/2006/relationships/image" Target="media/image144.png"/><Relationship Id="rId137" Type="http://schemas.openxmlformats.org/officeDocument/2006/relationships/image" Target="media/image143.jpeg"/><Relationship Id="rId136" Type="http://schemas.openxmlformats.org/officeDocument/2006/relationships/image" Target="media/image142.png"/><Relationship Id="rId135" Type="http://schemas.openxmlformats.org/officeDocument/2006/relationships/image" Target="media/image141.jpeg"/><Relationship Id="rId134" Type="http://schemas.openxmlformats.org/officeDocument/2006/relationships/image" Target="media/image140.png"/><Relationship Id="rId133" Type="http://schemas.openxmlformats.org/officeDocument/2006/relationships/image" Target="media/image139.jpeg"/><Relationship Id="rId132" Type="http://schemas.openxmlformats.org/officeDocument/2006/relationships/image" Target="media/image138.jpeg"/><Relationship Id="rId131" Type="http://schemas.openxmlformats.org/officeDocument/2006/relationships/image" Target="media/image137.jpeg"/><Relationship Id="rId130" Type="http://schemas.openxmlformats.org/officeDocument/2006/relationships/image" Target="media/image136.png"/><Relationship Id="rId13" Type="http://schemas.openxmlformats.org/officeDocument/2006/relationships/image" Target="media/image19.png"/><Relationship Id="rId129" Type="http://schemas.openxmlformats.org/officeDocument/2006/relationships/image" Target="media/image135.png"/><Relationship Id="rId128" Type="http://schemas.openxmlformats.org/officeDocument/2006/relationships/image" Target="media/image134.png"/><Relationship Id="rId127" Type="http://schemas.openxmlformats.org/officeDocument/2006/relationships/image" Target="media/image133.png"/><Relationship Id="rId126" Type="http://schemas.openxmlformats.org/officeDocument/2006/relationships/image" Target="media/image132.png"/><Relationship Id="rId125" Type="http://schemas.openxmlformats.org/officeDocument/2006/relationships/image" Target="media/image131.jpeg"/><Relationship Id="rId124" Type="http://schemas.openxmlformats.org/officeDocument/2006/relationships/image" Target="media/image130.png"/><Relationship Id="rId123" Type="http://schemas.openxmlformats.org/officeDocument/2006/relationships/image" Target="media/image129.png"/><Relationship Id="rId122" Type="http://schemas.openxmlformats.org/officeDocument/2006/relationships/image" Target="media/image128.jpeg"/><Relationship Id="rId121" Type="http://schemas.openxmlformats.org/officeDocument/2006/relationships/image" Target="media/image127.jpeg"/><Relationship Id="rId120" Type="http://schemas.openxmlformats.org/officeDocument/2006/relationships/image" Target="media/image126.png"/><Relationship Id="rId12" Type="http://schemas.openxmlformats.org/officeDocument/2006/relationships/image" Target="media/image18.jpeg"/><Relationship Id="rId119" Type="http://schemas.openxmlformats.org/officeDocument/2006/relationships/image" Target="media/image125.png"/><Relationship Id="rId118" Type="http://schemas.openxmlformats.org/officeDocument/2006/relationships/image" Target="media/image124.png"/><Relationship Id="rId117" Type="http://schemas.openxmlformats.org/officeDocument/2006/relationships/image" Target="media/image123.png"/><Relationship Id="rId116" Type="http://schemas.openxmlformats.org/officeDocument/2006/relationships/image" Target="media/image122.jpeg"/><Relationship Id="rId115" Type="http://schemas.openxmlformats.org/officeDocument/2006/relationships/image" Target="media/image121.jpeg"/><Relationship Id="rId114" Type="http://schemas.openxmlformats.org/officeDocument/2006/relationships/image" Target="media/image120.jpeg"/><Relationship Id="rId113" Type="http://schemas.openxmlformats.org/officeDocument/2006/relationships/image" Target="media/image119.jpeg"/><Relationship Id="rId112" Type="http://schemas.openxmlformats.org/officeDocument/2006/relationships/image" Target="media/image118.png"/><Relationship Id="rId111" Type="http://schemas.openxmlformats.org/officeDocument/2006/relationships/image" Target="media/image117.png"/><Relationship Id="rId110" Type="http://schemas.openxmlformats.org/officeDocument/2006/relationships/image" Target="media/image116.jpeg"/><Relationship Id="rId11" Type="http://schemas.openxmlformats.org/officeDocument/2006/relationships/image" Target="media/image17.png"/><Relationship Id="rId109" Type="http://schemas.openxmlformats.org/officeDocument/2006/relationships/image" Target="media/image115.png"/><Relationship Id="rId108" Type="http://schemas.openxmlformats.org/officeDocument/2006/relationships/image" Target="media/image114.png"/><Relationship Id="rId107" Type="http://schemas.openxmlformats.org/officeDocument/2006/relationships/image" Target="media/image113.png"/><Relationship Id="rId106" Type="http://schemas.openxmlformats.org/officeDocument/2006/relationships/image" Target="media/image112.jpeg"/><Relationship Id="rId105" Type="http://schemas.openxmlformats.org/officeDocument/2006/relationships/image" Target="media/image111.jpeg"/><Relationship Id="rId104" Type="http://schemas.openxmlformats.org/officeDocument/2006/relationships/image" Target="media/image110.png"/><Relationship Id="rId103" Type="http://schemas.openxmlformats.org/officeDocument/2006/relationships/image" Target="media/image109.png"/><Relationship Id="rId102" Type="http://schemas.openxmlformats.org/officeDocument/2006/relationships/image" Target="media/image108.png"/><Relationship Id="rId101" Type="http://schemas.openxmlformats.org/officeDocument/2006/relationships/image" Target="media/image107.png"/><Relationship Id="rId100" Type="http://schemas.openxmlformats.org/officeDocument/2006/relationships/image" Target="media/image106.png"/><Relationship Id="rId10" Type="http://schemas.openxmlformats.org/officeDocument/2006/relationships/image" Target="media/image16.png"/><Relationship Id="rId1" Type="http://schemas.openxmlformats.org/officeDocument/2006/relationships/image" Target="media/image7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9</xdr:col>
      <xdr:colOff>770802</xdr:colOff>
      <xdr:row>32</xdr:row>
      <xdr:rowOff>383180</xdr:rowOff>
    </xdr:from>
    <xdr:to>
      <xdr:col>9</xdr:col>
      <xdr:colOff>786680</xdr:colOff>
      <xdr:row>33</xdr:row>
      <xdr:rowOff>20947</xdr:rowOff>
    </xdr:to>
    <xdr:pic>
      <xdr:nvPicPr>
        <xdr:cNvPr id="2" name="Picture 5" descr=" "/>
        <xdr:cNvPicPr/>
      </xdr:nvPicPr>
      <xdr:blipFill>
        <a:blip r:embed="rId1"/>
        <a:srcRect/>
        <a:stretch>
          <a:fillRect/>
        </a:stretch>
      </xdr:blipFill>
      <xdr:spPr>
        <a:xfrm>
          <a:off x="9599930" y="35896550"/>
          <a:ext cx="15875" cy="177800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  <xdr:clientData/>
  </xdr:twoCellAnchor>
  <xdr:twoCellAnchor>
    <xdr:from>
      <xdr:col>9</xdr:col>
      <xdr:colOff>103928</xdr:colOff>
      <xdr:row>198</xdr:row>
      <xdr:rowOff>139997</xdr:rowOff>
    </xdr:from>
    <xdr:to>
      <xdr:col>9</xdr:col>
      <xdr:colOff>1027736</xdr:colOff>
      <xdr:row>198</xdr:row>
      <xdr:rowOff>139997</xdr:rowOff>
    </xdr:to>
    <xdr:pic>
      <xdr:nvPicPr>
        <xdr:cNvPr id="3" name="Picture 10" descr=" "/>
        <xdr:cNvPicPr/>
      </xdr:nvPicPr>
      <xdr:blipFill>
        <a:blip r:embed="rId2"/>
        <a:srcRect/>
        <a:stretch>
          <a:fillRect/>
        </a:stretch>
      </xdr:blipFill>
      <xdr:spPr>
        <a:xfrm>
          <a:off x="8933180" y="214770970"/>
          <a:ext cx="923925" cy="0"/>
        </a:xfrm>
        <a:prstGeom prst="rect">
          <a:avLst/>
        </a:prstGeom>
        <a:noFill/>
        <a:ln w="12700" cap="flat" cmpd="sng">
          <a:noFill/>
          <a:prstDash val="solid"/>
          <a:miter/>
        </a:ln>
        <a:effectLst/>
      </xdr:spPr>
    </xdr:pic>
    <xdr:clientData/>
  </xdr:twoCellAnchor>
  <xdr:twoCellAnchor>
    <xdr:from>
      <xdr:col>9</xdr:col>
      <xdr:colOff>267038</xdr:colOff>
      <xdr:row>169</xdr:row>
      <xdr:rowOff>480268</xdr:rowOff>
    </xdr:from>
    <xdr:to>
      <xdr:col>9</xdr:col>
      <xdr:colOff>780906</xdr:colOff>
      <xdr:row>170</xdr:row>
      <xdr:rowOff>129874</xdr:rowOff>
    </xdr:to>
    <xdr:pic>
      <xdr:nvPicPr>
        <xdr:cNvPr id="4" name="图片 608" descr="0J3A1069"/>
        <xdr:cNvPicPr/>
      </xdr:nvPicPr>
      <xdr:blipFill>
        <a:blip r:embed="rId3"/>
        <a:srcRect/>
        <a:stretch>
          <a:fillRect/>
        </a:stretch>
      </xdr:blipFill>
      <xdr:spPr>
        <a:xfrm>
          <a:off x="9096375" y="184692925"/>
          <a:ext cx="513715" cy="41148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9</xdr:col>
      <xdr:colOff>267038</xdr:colOff>
      <xdr:row>169</xdr:row>
      <xdr:rowOff>185246</xdr:rowOff>
    </xdr:from>
    <xdr:to>
      <xdr:col>9</xdr:col>
      <xdr:colOff>838644</xdr:colOff>
      <xdr:row>169</xdr:row>
      <xdr:rowOff>500851</xdr:rowOff>
    </xdr:to>
    <xdr:pic>
      <xdr:nvPicPr>
        <xdr:cNvPr id="5" name="图片 609" descr="0J3A1064"/>
        <xdr:cNvPicPr/>
      </xdr:nvPicPr>
      <xdr:blipFill>
        <a:blip r:embed="rId4"/>
        <a:srcRect/>
        <a:stretch>
          <a:fillRect/>
        </a:stretch>
      </xdr:blipFill>
      <xdr:spPr>
        <a:xfrm>
          <a:off x="9096375" y="184397650"/>
          <a:ext cx="571500" cy="31559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9</xdr:col>
      <xdr:colOff>685638</xdr:colOff>
      <xdr:row>169</xdr:row>
      <xdr:rowOff>195537</xdr:rowOff>
    </xdr:from>
    <xdr:to>
      <xdr:col>10</xdr:col>
      <xdr:colOff>0</xdr:colOff>
      <xdr:row>169</xdr:row>
      <xdr:rowOff>459685</xdr:rowOff>
    </xdr:to>
    <xdr:pic>
      <xdr:nvPicPr>
        <xdr:cNvPr id="6" name="图片 610" descr="0J3A1071"/>
        <xdr:cNvPicPr/>
      </xdr:nvPicPr>
      <xdr:blipFill>
        <a:blip r:embed="rId5"/>
        <a:srcRect/>
        <a:stretch>
          <a:fillRect/>
        </a:stretch>
      </xdr:blipFill>
      <xdr:spPr>
        <a:xfrm>
          <a:off x="9514840" y="184407810"/>
          <a:ext cx="591185" cy="26416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9</xdr:col>
      <xdr:colOff>217960</xdr:colOff>
      <xdr:row>213</xdr:row>
      <xdr:rowOff>733469</xdr:rowOff>
    </xdr:from>
    <xdr:to>
      <xdr:col>9</xdr:col>
      <xdr:colOff>1094135</xdr:colOff>
      <xdr:row>214</xdr:row>
      <xdr:rowOff>481756</xdr:rowOff>
    </xdr:to>
    <xdr:pic>
      <xdr:nvPicPr>
        <xdr:cNvPr id="7" name="Picture 3" descr=" "/>
        <xdr:cNvPicPr/>
      </xdr:nvPicPr>
      <xdr:blipFill>
        <a:blip r:embed="rId6"/>
        <a:srcRect/>
        <a:stretch>
          <a:fillRect/>
        </a:stretch>
      </xdr:blipFill>
      <xdr:spPr>
        <a:xfrm>
          <a:off x="9047480" y="229969060"/>
          <a:ext cx="876300" cy="833755"/>
        </a:xfrm>
        <a:prstGeom prst="rect">
          <a:avLst/>
        </a:prstGeom>
        <a:noFill/>
        <a:ln w="1" cap="flat" cmpd="sng">
          <a:noFill/>
          <a:prstDash val="solid"/>
          <a:miter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36"/>
  <sheetViews>
    <sheetView tabSelected="1" topLeftCell="A321" workbookViewId="0">
      <selection activeCell="N326" sqref="N326"/>
    </sheetView>
  </sheetViews>
  <sheetFormatPr defaultColWidth="9" defaultRowHeight="13.5"/>
  <cols>
    <col min="1" max="1" width="6.375" style="3" customWidth="1"/>
    <col min="2" max="2" width="11.25" style="2" customWidth="1"/>
    <col min="3" max="3" width="34.5" style="2" customWidth="1"/>
    <col min="4" max="5" width="9" style="3"/>
    <col min="6" max="6" width="12.375" style="3" customWidth="1"/>
    <col min="7" max="7" width="12.125" style="3" customWidth="1"/>
    <col min="8" max="8" width="12.25" style="3" customWidth="1"/>
    <col min="9" max="9" width="9" style="3"/>
    <col min="10" max="10" width="16.75" style="2" customWidth="1"/>
    <col min="11" max="16384" width="9" style="2"/>
  </cols>
  <sheetData>
    <row r="1" s="1" customFormat="1" ht="12.75" spans="1:10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46" t="s">
        <v>8</v>
      </c>
      <c r="J1" s="46" t="s">
        <v>9</v>
      </c>
    </row>
    <row r="2" s="2" customFormat="1" ht="85.5" spans="1:10">
      <c r="A2" s="6">
        <v>1</v>
      </c>
      <c r="B2" s="7" t="s">
        <v>10</v>
      </c>
      <c r="C2" s="8" t="s">
        <v>11</v>
      </c>
      <c r="D2" s="9">
        <v>1</v>
      </c>
      <c r="E2" s="9" t="s">
        <v>12</v>
      </c>
      <c r="F2" s="10">
        <v>21</v>
      </c>
      <c r="G2" s="11">
        <f>F2*D2</f>
        <v>21</v>
      </c>
      <c r="H2" s="12" t="s">
        <v>13</v>
      </c>
      <c r="I2" s="6" t="s">
        <v>14</v>
      </c>
      <c r="J2" s="47" t="str">
        <f>_xlfn.DISPIMG("ID_B8465DCF4B86477CA7E899A805AA53F9",1)</f>
        <v>=DISPIMG("ID_B8465DCF4B86477CA7E899A805AA53F9",1)</v>
      </c>
    </row>
    <row r="3" s="2" customFormat="1" ht="58.85" spans="1:10">
      <c r="A3" s="6">
        <v>2</v>
      </c>
      <c r="B3" s="13" t="s">
        <v>15</v>
      </c>
      <c r="C3" s="14" t="s">
        <v>16</v>
      </c>
      <c r="D3" s="15">
        <v>3</v>
      </c>
      <c r="E3" s="15" t="s">
        <v>17</v>
      </c>
      <c r="F3" s="16">
        <v>8</v>
      </c>
      <c r="G3" s="11">
        <f t="shared" ref="G2:G65" si="0">F3*D3</f>
        <v>24</v>
      </c>
      <c r="H3" s="12" t="s">
        <v>13</v>
      </c>
      <c r="I3" s="6" t="s">
        <v>14</v>
      </c>
      <c r="J3" s="48" t="str">
        <f>_xlfn.DISPIMG("ID_DAC55DFC07B54304AFDA94EBE47B276C",1)</f>
        <v>=DISPIMG("ID_DAC55DFC07B54304AFDA94EBE47B276C",1)</v>
      </c>
    </row>
    <row r="4" s="2" customFormat="1" ht="59.95" spans="1:10">
      <c r="A4" s="6">
        <v>3</v>
      </c>
      <c r="B4" s="17" t="s">
        <v>18</v>
      </c>
      <c r="C4" s="8" t="s">
        <v>19</v>
      </c>
      <c r="D4" s="9">
        <v>1</v>
      </c>
      <c r="E4" s="9" t="s">
        <v>12</v>
      </c>
      <c r="F4" s="10">
        <v>123</v>
      </c>
      <c r="G4" s="11">
        <f t="shared" si="0"/>
        <v>123</v>
      </c>
      <c r="H4" s="12" t="s">
        <v>13</v>
      </c>
      <c r="I4" s="6" t="s">
        <v>14</v>
      </c>
      <c r="J4" s="47" t="str">
        <f>_xlfn.DISPIMG("ID_976D815F012049FFBB11B93F6D3C2715",1)</f>
        <v>=DISPIMG("ID_976D815F012049FFBB11B93F6D3C2715",1)</v>
      </c>
    </row>
    <row r="5" s="2" customFormat="1" ht="66.1" spans="1:10">
      <c r="A5" s="6">
        <v>4</v>
      </c>
      <c r="B5" s="13" t="s">
        <v>20</v>
      </c>
      <c r="C5" s="14" t="s">
        <v>21</v>
      </c>
      <c r="D5" s="15">
        <v>3</v>
      </c>
      <c r="E5" s="15" t="s">
        <v>12</v>
      </c>
      <c r="F5" s="16">
        <v>21</v>
      </c>
      <c r="G5" s="11">
        <f t="shared" si="0"/>
        <v>63</v>
      </c>
      <c r="H5" s="12" t="s">
        <v>13</v>
      </c>
      <c r="I5" s="6" t="s">
        <v>14</v>
      </c>
      <c r="J5" s="48" t="str">
        <f>_xlfn.DISPIMG("ID_873C82BECB99431E886FE69BE75E1E51",1)</f>
        <v>=DISPIMG("ID_873C82BECB99431E886FE69BE75E1E51",1)</v>
      </c>
    </row>
    <row r="6" s="2" customFormat="1" ht="89.25" spans="1:10">
      <c r="A6" s="6">
        <v>5</v>
      </c>
      <c r="B6" s="7" t="s">
        <v>22</v>
      </c>
      <c r="C6" s="8" t="s">
        <v>23</v>
      </c>
      <c r="D6" s="18">
        <v>3</v>
      </c>
      <c r="E6" s="18" t="s">
        <v>12</v>
      </c>
      <c r="F6" s="19">
        <v>22</v>
      </c>
      <c r="G6" s="11">
        <f t="shared" si="0"/>
        <v>66</v>
      </c>
      <c r="H6" s="12" t="s">
        <v>13</v>
      </c>
      <c r="I6" s="6" t="s">
        <v>14</v>
      </c>
      <c r="J6" s="49" t="str">
        <f>_xlfn.DISPIMG("ID_F51DD5381F6E45738CA43F360CAF51BD",1)</f>
        <v>=DISPIMG("ID_F51DD5381F6E45738CA43F360CAF51BD",1)</v>
      </c>
    </row>
    <row r="7" s="2" customFormat="1" ht="57" spans="1:10">
      <c r="A7" s="6">
        <v>6</v>
      </c>
      <c r="B7" s="17" t="s">
        <v>24</v>
      </c>
      <c r="C7" s="20" t="s">
        <v>25</v>
      </c>
      <c r="D7" s="10">
        <v>1</v>
      </c>
      <c r="E7" s="10" t="s">
        <v>17</v>
      </c>
      <c r="F7" s="10">
        <v>4</v>
      </c>
      <c r="G7" s="11">
        <f t="shared" si="0"/>
        <v>4</v>
      </c>
      <c r="H7" s="12" t="s">
        <v>13</v>
      </c>
      <c r="I7" s="6" t="s">
        <v>14</v>
      </c>
      <c r="J7" s="47" t="str">
        <f>_xlfn.DISPIMG("ID_0BD4D8FC75644FE79CE6888640BE8043",1)</f>
        <v>=DISPIMG("ID_0BD4D8FC75644FE79CE6888640BE8043",1)</v>
      </c>
    </row>
    <row r="8" s="2" customFormat="1" ht="50.35" spans="1:10">
      <c r="A8" s="6">
        <v>7</v>
      </c>
      <c r="B8" s="21" t="s">
        <v>26</v>
      </c>
      <c r="C8" s="21" t="s">
        <v>27</v>
      </c>
      <c r="D8" s="22">
        <v>180</v>
      </c>
      <c r="E8" s="6" t="s">
        <v>28</v>
      </c>
      <c r="F8" s="23">
        <v>42</v>
      </c>
      <c r="G8" s="11">
        <f t="shared" si="0"/>
        <v>7560</v>
      </c>
      <c r="H8" s="12" t="s">
        <v>13</v>
      </c>
      <c r="I8" s="6" t="s">
        <v>14</v>
      </c>
      <c r="J8" s="21" t="str">
        <f>_xlfn.DISPIMG("ID_2AB53F68B8A64F9F8CD971A26E390FD5",1)</f>
        <v>=DISPIMG("ID_2AB53F68B8A64F9F8CD971A26E390FD5",1)</v>
      </c>
    </row>
    <row r="9" s="2" customFormat="1" ht="84" spans="1:10">
      <c r="A9" s="6">
        <v>8</v>
      </c>
      <c r="B9" s="24" t="s">
        <v>29</v>
      </c>
      <c r="C9" s="14" t="s">
        <v>30</v>
      </c>
      <c r="D9" s="25">
        <v>5</v>
      </c>
      <c r="E9" s="25" t="s">
        <v>12</v>
      </c>
      <c r="F9" s="25">
        <v>33</v>
      </c>
      <c r="G9" s="11">
        <f t="shared" si="0"/>
        <v>165</v>
      </c>
      <c r="H9" s="12" t="s">
        <v>13</v>
      </c>
      <c r="I9" s="6" t="s">
        <v>14</v>
      </c>
      <c r="J9" s="50" t="str">
        <f>_xlfn.DISPIMG("ID_69142A933840466DAE2641E0042F726B",1)</f>
        <v>=DISPIMG("ID_69142A933840466DAE2641E0042F726B",1)</v>
      </c>
    </row>
    <row r="10" s="2" customFormat="1" ht="57.95" spans="1:10">
      <c r="A10" s="6">
        <v>9</v>
      </c>
      <c r="B10" s="26" t="s">
        <v>31</v>
      </c>
      <c r="C10" s="27" t="s">
        <v>32</v>
      </c>
      <c r="D10" s="28">
        <v>26</v>
      </c>
      <c r="E10" s="29" t="s">
        <v>17</v>
      </c>
      <c r="F10" s="30">
        <v>5</v>
      </c>
      <c r="G10" s="11">
        <f t="shared" si="0"/>
        <v>130</v>
      </c>
      <c r="H10" s="12" t="s">
        <v>13</v>
      </c>
      <c r="I10" s="6" t="s">
        <v>14</v>
      </c>
      <c r="J10" s="26" t="str">
        <f>_xlfn.DISPIMG("ID_4243AE0E771A4364A6EC4A439A94AE7C",1)</f>
        <v>=DISPIMG("ID_4243AE0E771A4364A6EC4A439A94AE7C",1)</v>
      </c>
    </row>
    <row r="11" s="2" customFormat="1" ht="93.15" spans="1:10">
      <c r="A11" s="6">
        <v>10</v>
      </c>
      <c r="B11" s="7" t="s">
        <v>33</v>
      </c>
      <c r="C11" s="31" t="s">
        <v>34</v>
      </c>
      <c r="D11" s="18">
        <v>3</v>
      </c>
      <c r="E11" s="18" t="s">
        <v>12</v>
      </c>
      <c r="F11" s="19">
        <v>22</v>
      </c>
      <c r="G11" s="11">
        <f t="shared" si="0"/>
        <v>66</v>
      </c>
      <c r="H11" s="12" t="s">
        <v>13</v>
      </c>
      <c r="I11" s="6" t="s">
        <v>14</v>
      </c>
      <c r="J11" s="51" t="str">
        <f>_xlfn.DISPIMG("ID_03C270B512084F0C954B5CF208911800",1)</f>
        <v>=DISPIMG("ID_03C270B512084F0C954B5CF208911800",1)</v>
      </c>
    </row>
    <row r="12" s="2" customFormat="1" ht="84" spans="1:10">
      <c r="A12" s="6">
        <v>11</v>
      </c>
      <c r="B12" s="13" t="s">
        <v>35</v>
      </c>
      <c r="C12" s="14" t="s">
        <v>36</v>
      </c>
      <c r="D12" s="15">
        <v>3</v>
      </c>
      <c r="E12" s="15" t="s">
        <v>12</v>
      </c>
      <c r="F12" s="16">
        <v>99</v>
      </c>
      <c r="G12" s="11">
        <f t="shared" si="0"/>
        <v>297</v>
      </c>
      <c r="H12" s="12" t="s">
        <v>13</v>
      </c>
      <c r="I12" s="6" t="s">
        <v>14</v>
      </c>
      <c r="J12" s="48" t="str">
        <f>_xlfn.DISPIMG("ID_3B7012F7C0FC4AFAA1D561C39E7138EA",1)</f>
        <v>=DISPIMG("ID_3B7012F7C0FC4AFAA1D561C39E7138EA",1)</v>
      </c>
    </row>
    <row r="13" s="2" customFormat="1" ht="54.5" spans="1:10">
      <c r="A13" s="6">
        <v>12</v>
      </c>
      <c r="B13" s="32" t="s">
        <v>37</v>
      </c>
      <c r="C13" s="32" t="s">
        <v>38</v>
      </c>
      <c r="D13" s="25">
        <v>30</v>
      </c>
      <c r="E13" s="6" t="s">
        <v>28</v>
      </c>
      <c r="F13" s="23">
        <v>85</v>
      </c>
      <c r="G13" s="11">
        <f t="shared" si="0"/>
        <v>2550</v>
      </c>
      <c r="H13" s="12" t="s">
        <v>13</v>
      </c>
      <c r="I13" s="6" t="s">
        <v>14</v>
      </c>
      <c r="J13" s="32" t="str">
        <f>_xlfn.DISPIMG("ID_BC5733AF17B1455DA295ABD889C595C8",1)</f>
        <v>=DISPIMG("ID_BC5733AF17B1455DA295ABD889C595C8",1)</v>
      </c>
    </row>
    <row r="14" s="2" customFormat="1" ht="71.25" spans="1:10">
      <c r="A14" s="6">
        <v>13</v>
      </c>
      <c r="B14" s="7" t="s">
        <v>39</v>
      </c>
      <c r="C14" s="8" t="s">
        <v>40</v>
      </c>
      <c r="D14" s="18">
        <v>3</v>
      </c>
      <c r="E14" s="18" t="s">
        <v>12</v>
      </c>
      <c r="F14" s="19">
        <v>19</v>
      </c>
      <c r="G14" s="11">
        <f t="shared" si="0"/>
        <v>57</v>
      </c>
      <c r="H14" s="12" t="s">
        <v>13</v>
      </c>
      <c r="I14" s="6" t="s">
        <v>14</v>
      </c>
      <c r="J14" s="49" t="str">
        <f>_xlfn.DISPIMG("ID_274D76F5A513450CAD53E13DFEAE575F",1)</f>
        <v>=DISPIMG("ID_274D76F5A513450CAD53E13DFEAE575F",1)</v>
      </c>
    </row>
    <row r="15" s="2" customFormat="1" ht="63.05" spans="1:10">
      <c r="A15" s="6">
        <v>14</v>
      </c>
      <c r="B15" s="13" t="s">
        <v>41</v>
      </c>
      <c r="C15" s="14" t="s">
        <v>42</v>
      </c>
      <c r="D15" s="15">
        <v>3</v>
      </c>
      <c r="E15" s="15" t="s">
        <v>17</v>
      </c>
      <c r="F15" s="16">
        <v>22</v>
      </c>
      <c r="G15" s="11">
        <f t="shared" si="0"/>
        <v>66</v>
      </c>
      <c r="H15" s="12" t="s">
        <v>13</v>
      </c>
      <c r="I15" s="6" t="s">
        <v>14</v>
      </c>
      <c r="J15" s="48" t="str">
        <f>_xlfn.DISPIMG("ID_166645773D32405298437A579E56E0DF",1)</f>
        <v>=DISPIMG("ID_166645773D32405298437A579E56E0DF",1)</v>
      </c>
    </row>
    <row r="16" s="2" customFormat="1" ht="49.9" spans="1:10">
      <c r="A16" s="6">
        <v>15</v>
      </c>
      <c r="B16" s="15" t="s">
        <v>43</v>
      </c>
      <c r="C16" s="33" t="s">
        <v>44</v>
      </c>
      <c r="D16" s="15">
        <v>6</v>
      </c>
      <c r="E16" s="15" t="s">
        <v>17</v>
      </c>
      <c r="F16" s="23">
        <v>425</v>
      </c>
      <c r="G16" s="11">
        <f t="shared" si="0"/>
        <v>2550</v>
      </c>
      <c r="H16" s="12" t="s">
        <v>13</v>
      </c>
      <c r="I16" s="6" t="s">
        <v>14</v>
      </c>
      <c r="J16" s="15" t="str">
        <f>_xlfn.DISPIMG("ID_E3F45CB0A6F140108F9EEA213E44A305",1)</f>
        <v>=DISPIMG("ID_E3F45CB0A6F140108F9EEA213E44A305",1)</v>
      </c>
    </row>
    <row r="17" s="2" customFormat="1" ht="65.25" spans="1:10">
      <c r="A17" s="6">
        <v>16</v>
      </c>
      <c r="B17" s="17" t="s">
        <v>45</v>
      </c>
      <c r="C17" s="8" t="s">
        <v>46</v>
      </c>
      <c r="D17" s="9">
        <v>1</v>
      </c>
      <c r="E17" s="9" t="s">
        <v>12</v>
      </c>
      <c r="F17" s="10">
        <v>38</v>
      </c>
      <c r="G17" s="11">
        <f t="shared" si="0"/>
        <v>38</v>
      </c>
      <c r="H17" s="12" t="s">
        <v>13</v>
      </c>
      <c r="I17" s="6" t="s">
        <v>14</v>
      </c>
      <c r="J17" s="47" t="str">
        <f>_xlfn.DISPIMG("ID_7098E94394AD4AF089F9E16DA18E8972",1)</f>
        <v>=DISPIMG("ID_7098E94394AD4AF089F9E16DA18E8972",1)</v>
      </c>
    </row>
    <row r="18" s="2" customFormat="1" ht="409.5" spans="1:10">
      <c r="A18" s="6">
        <v>17</v>
      </c>
      <c r="B18" s="7" t="s">
        <v>47</v>
      </c>
      <c r="C18" s="34" t="s">
        <v>48</v>
      </c>
      <c r="D18" s="18">
        <v>3</v>
      </c>
      <c r="E18" s="18" t="s">
        <v>49</v>
      </c>
      <c r="F18" s="19">
        <v>4</v>
      </c>
      <c r="G18" s="11">
        <f t="shared" si="0"/>
        <v>12</v>
      </c>
      <c r="H18" s="12" t="s">
        <v>13</v>
      </c>
      <c r="I18" s="6" t="s">
        <v>14</v>
      </c>
      <c r="J18" s="52" t="str">
        <f>_xlfn.DISPIMG("ID_50FC84591A8E40E8974C47A9A08AF992",1)</f>
        <v>=DISPIMG("ID_50FC84591A8E40E8974C47A9A08AF992",1)</v>
      </c>
    </row>
    <row r="19" s="2" customFormat="1" ht="63.95" spans="1:10">
      <c r="A19" s="6">
        <v>18</v>
      </c>
      <c r="B19" s="13" t="s">
        <v>50</v>
      </c>
      <c r="C19" s="14" t="s">
        <v>51</v>
      </c>
      <c r="D19" s="15">
        <v>3</v>
      </c>
      <c r="E19" s="15" t="s">
        <v>12</v>
      </c>
      <c r="F19" s="16">
        <v>34</v>
      </c>
      <c r="G19" s="11">
        <f t="shared" si="0"/>
        <v>102</v>
      </c>
      <c r="H19" s="12" t="s">
        <v>13</v>
      </c>
      <c r="I19" s="6" t="s">
        <v>14</v>
      </c>
      <c r="J19" s="48" t="str">
        <f>_xlfn.DISPIMG("ID_E2A209AA4B204E408DF95FC4CB84D34D",1)</f>
        <v>=DISPIMG("ID_E2A209AA4B204E408DF95FC4CB84D34D",1)</v>
      </c>
    </row>
    <row r="20" s="2" customFormat="1" ht="38.45" spans="1:10">
      <c r="A20" s="6">
        <v>19</v>
      </c>
      <c r="B20" s="35" t="s">
        <v>52</v>
      </c>
      <c r="C20" s="36" t="s">
        <v>53</v>
      </c>
      <c r="D20" s="25">
        <v>3</v>
      </c>
      <c r="E20" s="6" t="s">
        <v>28</v>
      </c>
      <c r="F20" s="23">
        <v>123</v>
      </c>
      <c r="G20" s="11">
        <f t="shared" si="0"/>
        <v>369</v>
      </c>
      <c r="H20" s="12" t="s">
        <v>13</v>
      </c>
      <c r="I20" s="6" t="s">
        <v>14</v>
      </c>
      <c r="J20" s="53" t="str">
        <f>_xlfn.DISPIMG("ID_BCB38B3681684CBC8474E0B50C36F4C8",1)</f>
        <v>=DISPIMG("ID_BCB38B3681684CBC8474E0B50C36F4C8",1)</v>
      </c>
    </row>
    <row r="21" s="2" customFormat="1" ht="67.75" spans="1:10">
      <c r="A21" s="6">
        <v>20</v>
      </c>
      <c r="B21" s="7" t="s">
        <v>54</v>
      </c>
      <c r="C21" s="8" t="s">
        <v>55</v>
      </c>
      <c r="D21" s="18">
        <v>3</v>
      </c>
      <c r="E21" s="18" t="s">
        <v>12</v>
      </c>
      <c r="F21" s="19">
        <v>8</v>
      </c>
      <c r="G21" s="11">
        <f t="shared" si="0"/>
        <v>24</v>
      </c>
      <c r="H21" s="12" t="s">
        <v>13</v>
      </c>
      <c r="I21" s="6" t="s">
        <v>14</v>
      </c>
      <c r="J21" s="41" t="str">
        <f>_xlfn.DISPIMG("ID_367600F9080046EEA79A0F06F10DC60A",1)</f>
        <v>=DISPIMG("ID_367600F9080046EEA79A0F06F10DC60A",1)</v>
      </c>
    </row>
    <row r="22" s="2" customFormat="1" ht="166.45" spans="1:10">
      <c r="A22" s="6">
        <v>21</v>
      </c>
      <c r="B22" s="37" t="s">
        <v>56</v>
      </c>
      <c r="C22" s="38" t="s">
        <v>57</v>
      </c>
      <c r="D22" s="25">
        <v>15</v>
      </c>
      <c r="E22" s="25" t="s">
        <v>12</v>
      </c>
      <c r="F22" s="25">
        <v>50</v>
      </c>
      <c r="G22" s="11">
        <f t="shared" si="0"/>
        <v>750</v>
      </c>
      <c r="H22" s="12" t="s">
        <v>13</v>
      </c>
      <c r="I22" s="6" t="s">
        <v>14</v>
      </c>
      <c r="J22" s="50" t="str">
        <f>_xlfn.DISPIMG("ID_D751CE1396BB4C92941EC06B4920E825",1)</f>
        <v>=DISPIMG("ID_D751CE1396BB4C92941EC06B4920E825",1)</v>
      </c>
    </row>
    <row r="23" s="2" customFormat="1" ht="66.25" spans="1:10">
      <c r="A23" s="6">
        <v>22</v>
      </c>
      <c r="B23" s="17" t="s">
        <v>58</v>
      </c>
      <c r="C23" s="8" t="s">
        <v>59</v>
      </c>
      <c r="D23" s="9">
        <v>1</v>
      </c>
      <c r="E23" s="9" t="s">
        <v>17</v>
      </c>
      <c r="F23" s="10">
        <v>25</v>
      </c>
      <c r="G23" s="11">
        <f t="shared" si="0"/>
        <v>25</v>
      </c>
      <c r="H23" s="12" t="s">
        <v>13</v>
      </c>
      <c r="I23" s="6" t="s">
        <v>14</v>
      </c>
      <c r="J23" s="54" t="str">
        <f>_xlfn.DISPIMG("ID_EFD1602E83D040C5BF77BE4DB7A88C11",1)</f>
        <v>=DISPIMG("ID_EFD1602E83D040C5BF77BE4DB7A88C11",1)</v>
      </c>
    </row>
    <row r="24" s="2" customFormat="1" ht="62.45" spans="1:10">
      <c r="A24" s="6">
        <v>23</v>
      </c>
      <c r="B24" s="7" t="s">
        <v>60</v>
      </c>
      <c r="C24" s="8" t="s">
        <v>61</v>
      </c>
      <c r="D24" s="39">
        <v>1</v>
      </c>
      <c r="E24" s="39" t="s">
        <v>17</v>
      </c>
      <c r="F24" s="10">
        <v>30</v>
      </c>
      <c r="G24" s="11">
        <f t="shared" si="0"/>
        <v>30</v>
      </c>
      <c r="H24" s="12" t="s">
        <v>13</v>
      </c>
      <c r="I24" s="6" t="s">
        <v>14</v>
      </c>
      <c r="J24" s="47" t="str">
        <f>_xlfn.DISPIMG("ID_9A5D16E6E7BB4D62B7349CF16631AD71",1)</f>
        <v>=DISPIMG("ID_9A5D16E6E7BB4D62B7349CF16631AD71",1)</v>
      </c>
    </row>
    <row r="25" s="2" customFormat="1" ht="139.25" spans="1:10">
      <c r="A25" s="6">
        <v>24</v>
      </c>
      <c r="B25" s="40" t="s">
        <v>62</v>
      </c>
      <c r="C25" s="14" t="s">
        <v>63</v>
      </c>
      <c r="D25" s="15">
        <v>3</v>
      </c>
      <c r="E25" s="15" t="s">
        <v>64</v>
      </c>
      <c r="F25" s="16">
        <v>74</v>
      </c>
      <c r="G25" s="11">
        <f t="shared" si="0"/>
        <v>222</v>
      </c>
      <c r="H25" s="12" t="s">
        <v>13</v>
      </c>
      <c r="I25" s="6" t="s">
        <v>14</v>
      </c>
      <c r="J25" s="55" t="str">
        <f>_xlfn.DISPIMG("ID_437C82DD50D04FE989B73BB3C104D0DF",1)</f>
        <v>=DISPIMG("ID_437C82DD50D04FE989B73BB3C104D0DF",1)</v>
      </c>
    </row>
    <row r="26" s="2" customFormat="1" ht="127.1" spans="1:10">
      <c r="A26" s="6">
        <v>25</v>
      </c>
      <c r="B26" s="17" t="s">
        <v>65</v>
      </c>
      <c r="C26" s="20" t="s">
        <v>66</v>
      </c>
      <c r="D26" s="10">
        <v>1</v>
      </c>
      <c r="E26" s="10" t="s">
        <v>67</v>
      </c>
      <c r="F26" s="10">
        <v>30</v>
      </c>
      <c r="G26" s="11">
        <f t="shared" si="0"/>
        <v>30</v>
      </c>
      <c r="H26" s="12" t="s">
        <v>13</v>
      </c>
      <c r="I26" s="6" t="s">
        <v>14</v>
      </c>
      <c r="J26" s="47" t="str">
        <f>_xlfn.DISPIMG("ID_797446C306324917A6A56AD04CCB0B12",1)</f>
        <v>=DISPIMG("ID_797446C306324917A6A56AD04CCB0B12",1)</v>
      </c>
    </row>
    <row r="27" s="2" customFormat="1" ht="73.05" spans="1:10">
      <c r="A27" s="6">
        <v>26</v>
      </c>
      <c r="B27" s="7" t="s">
        <v>68</v>
      </c>
      <c r="C27" s="8" t="s">
        <v>69</v>
      </c>
      <c r="D27" s="18">
        <v>3</v>
      </c>
      <c r="E27" s="18" t="s">
        <v>67</v>
      </c>
      <c r="F27" s="19">
        <v>21</v>
      </c>
      <c r="G27" s="11">
        <f t="shared" si="0"/>
        <v>63</v>
      </c>
      <c r="H27" s="12" t="s">
        <v>13</v>
      </c>
      <c r="I27" s="6" t="s">
        <v>14</v>
      </c>
      <c r="J27" s="41" t="str">
        <f>_xlfn.DISPIMG("ID_29C0D81B00ED45D7940049E8A571549C",1)</f>
        <v>=DISPIMG("ID_29C0D81B00ED45D7940049E8A571549C",1)</v>
      </c>
    </row>
    <row r="28" s="2" customFormat="1" ht="69.55" spans="1:10">
      <c r="A28" s="6">
        <v>27</v>
      </c>
      <c r="B28" s="7" t="s">
        <v>70</v>
      </c>
      <c r="C28" s="8" t="s">
        <v>71</v>
      </c>
      <c r="D28" s="18">
        <v>3</v>
      </c>
      <c r="E28" s="18" t="s">
        <v>12</v>
      </c>
      <c r="F28" s="19">
        <v>22</v>
      </c>
      <c r="G28" s="11">
        <f t="shared" si="0"/>
        <v>66</v>
      </c>
      <c r="H28" s="12" t="s">
        <v>13</v>
      </c>
      <c r="I28" s="6" t="s">
        <v>14</v>
      </c>
      <c r="J28" s="51" t="str">
        <f>_xlfn.DISPIMG("ID_4C59C2517CC44EA78160775916E6ED4A",1)</f>
        <v>=DISPIMG("ID_4C59C2517CC44EA78160775916E6ED4A",1)</v>
      </c>
    </row>
    <row r="29" s="2" customFormat="1" ht="46.2" spans="1:10">
      <c r="A29" s="6">
        <v>28</v>
      </c>
      <c r="B29" s="21" t="s">
        <v>72</v>
      </c>
      <c r="C29" s="36" t="s">
        <v>73</v>
      </c>
      <c r="D29" s="25">
        <v>360</v>
      </c>
      <c r="E29" s="6" t="s">
        <v>28</v>
      </c>
      <c r="F29" s="23">
        <v>25</v>
      </c>
      <c r="G29" s="11">
        <f t="shared" si="0"/>
        <v>9000</v>
      </c>
      <c r="H29" s="12" t="s">
        <v>13</v>
      </c>
      <c r="I29" s="6" t="s">
        <v>14</v>
      </c>
      <c r="J29" s="56" t="str">
        <f>_xlfn.DISPIMG("ID_C06501AA022249A9979D110112505CED",1)</f>
        <v>=DISPIMG("ID_C06501AA022249A9979D110112505CED",1)</v>
      </c>
    </row>
    <row r="30" s="2" customFormat="1" ht="119.5" spans="1:10">
      <c r="A30" s="6">
        <v>29</v>
      </c>
      <c r="B30" s="24" t="s">
        <v>74</v>
      </c>
      <c r="C30" s="14" t="s">
        <v>75</v>
      </c>
      <c r="D30" s="25">
        <v>10</v>
      </c>
      <c r="E30" s="25" t="s">
        <v>17</v>
      </c>
      <c r="F30" s="25">
        <v>39</v>
      </c>
      <c r="G30" s="11">
        <f t="shared" si="0"/>
        <v>390</v>
      </c>
      <c r="H30" s="12" t="s">
        <v>13</v>
      </c>
      <c r="I30" s="6" t="s">
        <v>14</v>
      </c>
      <c r="J30" s="50" t="str">
        <f>_xlfn.DISPIMG("ID_5A135F0F5D024026813065833F3962E9",1)</f>
        <v>=DISPIMG("ID_5A135F0F5D024026813065833F3962E9",1)</v>
      </c>
    </row>
    <row r="31" s="2" customFormat="1" ht="57" spans="1:10">
      <c r="A31" s="6">
        <v>30</v>
      </c>
      <c r="B31" s="39" t="s">
        <v>76</v>
      </c>
      <c r="C31" s="41" t="s">
        <v>77</v>
      </c>
      <c r="D31" s="18">
        <v>3</v>
      </c>
      <c r="E31" s="18" t="s">
        <v>12</v>
      </c>
      <c r="F31" s="19">
        <v>8</v>
      </c>
      <c r="G31" s="11">
        <f t="shared" si="0"/>
        <v>24</v>
      </c>
      <c r="H31" s="12" t="s">
        <v>13</v>
      </c>
      <c r="I31" s="6" t="s">
        <v>14</v>
      </c>
      <c r="J31" s="49" t="str">
        <f>_xlfn.DISPIMG("ID_C4FBEFDCD90546DD935C3C6AEE2086A1",1)</f>
        <v>=DISPIMG("ID_C4FBEFDCD90546DD935C3C6AEE2086A1",1)</v>
      </c>
    </row>
    <row r="32" s="2" customFormat="1" ht="187.1" spans="1:10">
      <c r="A32" s="6">
        <v>31</v>
      </c>
      <c r="B32" s="17" t="s">
        <v>78</v>
      </c>
      <c r="C32" s="8" t="s">
        <v>59</v>
      </c>
      <c r="D32" s="9">
        <v>1</v>
      </c>
      <c r="E32" s="9" t="s">
        <v>17</v>
      </c>
      <c r="F32" s="10">
        <v>25</v>
      </c>
      <c r="G32" s="11">
        <f t="shared" si="0"/>
        <v>25</v>
      </c>
      <c r="H32" s="12" t="s">
        <v>13</v>
      </c>
      <c r="I32" s="6" t="s">
        <v>14</v>
      </c>
      <c r="J32" s="54" t="str">
        <f>_xlfn.DISPIMG("ID_F1AB8D188D34423DA024B1CF22567608",1)</f>
        <v>=DISPIMG("ID_F1AB8D188D34423DA024B1CF22567608",1)</v>
      </c>
    </row>
    <row r="33" s="2" customFormat="1" ht="42.55" spans="1:10">
      <c r="A33" s="6">
        <v>32</v>
      </c>
      <c r="B33" s="21" t="s">
        <v>79</v>
      </c>
      <c r="C33" s="21" t="s">
        <v>80</v>
      </c>
      <c r="D33" s="22">
        <v>120</v>
      </c>
      <c r="E33" s="6" t="s">
        <v>28</v>
      </c>
      <c r="F33" s="23">
        <v>55</v>
      </c>
      <c r="G33" s="11">
        <f t="shared" si="0"/>
        <v>6600</v>
      </c>
      <c r="H33" s="12" t="s">
        <v>13</v>
      </c>
      <c r="I33" s="6" t="s">
        <v>14</v>
      </c>
      <c r="J33" s="21" t="str">
        <f>_xlfn.DISPIMG("ID_FBE3F55A05054E0BB277DCC961B1AB36",1)</f>
        <v>=DISPIMG("ID_FBE3F55A05054E0BB277DCC961B1AB36",1)</v>
      </c>
    </row>
    <row r="34" s="2" customFormat="1" ht="63" spans="1:10">
      <c r="A34" s="6">
        <v>33</v>
      </c>
      <c r="B34" s="17" t="s">
        <v>81</v>
      </c>
      <c r="C34" s="8" t="s">
        <v>82</v>
      </c>
      <c r="D34" s="9">
        <v>1</v>
      </c>
      <c r="E34" s="9" t="s">
        <v>12</v>
      </c>
      <c r="F34" s="10">
        <v>38</v>
      </c>
      <c r="G34" s="11">
        <f t="shared" si="0"/>
        <v>38</v>
      </c>
      <c r="H34" s="12" t="s">
        <v>13</v>
      </c>
      <c r="I34" s="6" t="s">
        <v>14</v>
      </c>
      <c r="J34" s="47" t="str">
        <f>_xlfn.DISPIMG("ID_2000EC05B10F4CB582272EF5E6A0AFD7",1)</f>
        <v>=DISPIMG("ID_2000EC05B10F4CB582272EF5E6A0AFD7",1)</v>
      </c>
    </row>
    <row r="35" s="2" customFormat="1" ht="94.6" spans="1:10">
      <c r="A35" s="6">
        <v>34</v>
      </c>
      <c r="B35" s="39" t="s">
        <v>83</v>
      </c>
      <c r="C35" s="34" t="s">
        <v>84</v>
      </c>
      <c r="D35" s="18">
        <v>3</v>
      </c>
      <c r="E35" s="18" t="s">
        <v>12</v>
      </c>
      <c r="F35" s="19">
        <v>66</v>
      </c>
      <c r="G35" s="11">
        <f t="shared" si="0"/>
        <v>198</v>
      </c>
      <c r="H35" s="12" t="s">
        <v>13</v>
      </c>
      <c r="I35" s="6" t="s">
        <v>14</v>
      </c>
      <c r="J35" s="9" t="str">
        <f>_xlfn.DISPIMG("ID_98E8E4B830F445C6B2FCD9C8CDCEFE22",1)</f>
        <v>=DISPIMG("ID_98E8E4B830F445C6B2FCD9C8CDCEFE22",1)</v>
      </c>
    </row>
    <row r="36" s="2" customFormat="1" ht="409.5" spans="1:10">
      <c r="A36" s="6">
        <v>35</v>
      </c>
      <c r="B36" s="13" t="s">
        <v>85</v>
      </c>
      <c r="C36" s="42" t="s">
        <v>86</v>
      </c>
      <c r="D36" s="25">
        <v>3</v>
      </c>
      <c r="E36" s="25" t="s">
        <v>17</v>
      </c>
      <c r="F36" s="43">
        <v>34</v>
      </c>
      <c r="G36" s="11">
        <f t="shared" si="0"/>
        <v>102</v>
      </c>
      <c r="H36" s="12" t="s">
        <v>13</v>
      </c>
      <c r="I36" s="6" t="s">
        <v>14</v>
      </c>
      <c r="J36" s="57" t="str">
        <f>_xlfn.DISPIMG("ID_1CB297162EF44E4BA9F2D4679FEE5E32",1)</f>
        <v>=DISPIMG("ID_1CB297162EF44E4BA9F2D4679FEE5E32",1)</v>
      </c>
    </row>
    <row r="37" s="2" customFormat="1" ht="67.7" spans="1:10">
      <c r="A37" s="6">
        <v>36</v>
      </c>
      <c r="B37" s="37" t="s">
        <v>87</v>
      </c>
      <c r="C37" s="44" t="s">
        <v>88</v>
      </c>
      <c r="D37" s="28">
        <v>2</v>
      </c>
      <c r="E37" s="29" t="s">
        <v>17</v>
      </c>
      <c r="F37" s="30">
        <v>24</v>
      </c>
      <c r="G37" s="11">
        <f t="shared" si="0"/>
        <v>48</v>
      </c>
      <c r="H37" s="12" t="s">
        <v>13</v>
      </c>
      <c r="I37" s="6" t="s">
        <v>14</v>
      </c>
      <c r="J37" s="26" t="str">
        <f>_xlfn.DISPIMG("ID_D6EB3B81A843450E9F6A31DE4CB6D172",1)</f>
        <v>=DISPIMG("ID_D6EB3B81A843450E9F6A31DE4CB6D172",1)</v>
      </c>
    </row>
    <row r="38" s="2" customFormat="1" ht="54.65" spans="1:10">
      <c r="A38" s="6">
        <v>37</v>
      </c>
      <c r="B38" s="13" t="s">
        <v>89</v>
      </c>
      <c r="C38" s="14" t="s">
        <v>90</v>
      </c>
      <c r="D38" s="15">
        <v>3</v>
      </c>
      <c r="E38" s="15" t="s">
        <v>12</v>
      </c>
      <c r="F38" s="16">
        <v>38</v>
      </c>
      <c r="G38" s="11">
        <f t="shared" si="0"/>
        <v>114</v>
      </c>
      <c r="H38" s="12" t="s">
        <v>13</v>
      </c>
      <c r="I38" s="6" t="s">
        <v>14</v>
      </c>
      <c r="J38" s="48" t="str">
        <f>_xlfn.DISPIMG("ID_3499E646BD1F43199FA63EC7B6A8D97A",1)</f>
        <v>=DISPIMG("ID_3499E646BD1F43199FA63EC7B6A8D97A",1)</v>
      </c>
    </row>
    <row r="39" s="2" customFormat="1" ht="211.6" spans="1:10">
      <c r="A39" s="6">
        <v>38</v>
      </c>
      <c r="B39" s="17" t="s">
        <v>91</v>
      </c>
      <c r="C39" s="8" t="s">
        <v>92</v>
      </c>
      <c r="D39" s="9">
        <v>1</v>
      </c>
      <c r="E39" s="9" t="s">
        <v>12</v>
      </c>
      <c r="F39" s="10">
        <v>25</v>
      </c>
      <c r="G39" s="11">
        <f t="shared" si="0"/>
        <v>25</v>
      </c>
      <c r="H39" s="12" t="s">
        <v>13</v>
      </c>
      <c r="I39" s="6" t="s">
        <v>14</v>
      </c>
      <c r="J39" s="54" t="str">
        <f>_xlfn.DISPIMG("ID_C7D269391295451C99BD058656EAABD8",1)</f>
        <v>=DISPIMG("ID_C7D269391295451C99BD058656EAABD8",1)</v>
      </c>
    </row>
    <row r="40" s="2" customFormat="1" ht="39.3" spans="1:10">
      <c r="A40" s="6">
        <v>39</v>
      </c>
      <c r="B40" s="13" t="s">
        <v>93</v>
      </c>
      <c r="C40" s="14" t="s">
        <v>94</v>
      </c>
      <c r="D40" s="15">
        <v>3</v>
      </c>
      <c r="E40" s="15" t="s">
        <v>12</v>
      </c>
      <c r="F40" s="16">
        <v>95</v>
      </c>
      <c r="G40" s="11">
        <f t="shared" si="0"/>
        <v>285</v>
      </c>
      <c r="H40" s="12" t="s">
        <v>13</v>
      </c>
      <c r="I40" s="6" t="s">
        <v>14</v>
      </c>
      <c r="J40" s="48" t="str">
        <f>_xlfn.DISPIMG("ID_82891DBF75204902B210DFA37C8BF11E",1)</f>
        <v>=DISPIMG("ID_82891DBF75204902B210DFA37C8BF11E",1)</v>
      </c>
    </row>
    <row r="41" s="2" customFormat="1" ht="112.95" spans="1:10">
      <c r="A41" s="6">
        <v>40</v>
      </c>
      <c r="B41" s="7" t="s">
        <v>95</v>
      </c>
      <c r="C41" s="8" t="s">
        <v>96</v>
      </c>
      <c r="D41" s="39">
        <v>1</v>
      </c>
      <c r="E41" s="39" t="s">
        <v>17</v>
      </c>
      <c r="F41" s="10">
        <v>34</v>
      </c>
      <c r="G41" s="11">
        <f t="shared" si="0"/>
        <v>34</v>
      </c>
      <c r="H41" s="12" t="s">
        <v>13</v>
      </c>
      <c r="I41" s="6" t="s">
        <v>14</v>
      </c>
      <c r="J41" s="47" t="str">
        <f>_xlfn.DISPIMG("ID_EE27DCDF49994E4C8AE7D97F245CAEB3",1)</f>
        <v>=DISPIMG("ID_EE27DCDF49994E4C8AE7D97F245CAEB3",1)</v>
      </c>
    </row>
    <row r="42" s="2" customFormat="1" ht="66.7" spans="1:10">
      <c r="A42" s="6">
        <v>41</v>
      </c>
      <c r="B42" s="7" t="s">
        <v>97</v>
      </c>
      <c r="C42" s="8" t="s">
        <v>98</v>
      </c>
      <c r="D42" s="18">
        <v>3</v>
      </c>
      <c r="E42" s="18" t="s">
        <v>12</v>
      </c>
      <c r="F42" s="19">
        <v>17</v>
      </c>
      <c r="G42" s="11">
        <f t="shared" si="0"/>
        <v>51</v>
      </c>
      <c r="H42" s="12" t="s">
        <v>13</v>
      </c>
      <c r="I42" s="6" t="s">
        <v>14</v>
      </c>
      <c r="J42" s="49" t="str">
        <f>_xlfn.DISPIMG("ID_3EB550EB346143328B81D8EA97CBDE77",1)</f>
        <v>=DISPIMG("ID_3EB550EB346143328B81D8EA97CBDE77",1)</v>
      </c>
    </row>
    <row r="43" s="2" customFormat="1" ht="71.45" spans="1:10">
      <c r="A43" s="6">
        <v>42</v>
      </c>
      <c r="B43" s="7" t="s">
        <v>99</v>
      </c>
      <c r="C43" s="8" t="s">
        <v>100</v>
      </c>
      <c r="D43" s="39">
        <v>1</v>
      </c>
      <c r="E43" s="39" t="s">
        <v>12</v>
      </c>
      <c r="F43" s="10">
        <v>30</v>
      </c>
      <c r="G43" s="11">
        <f t="shared" si="0"/>
        <v>30</v>
      </c>
      <c r="H43" s="12" t="s">
        <v>13</v>
      </c>
      <c r="I43" s="6" t="s">
        <v>14</v>
      </c>
      <c r="J43" s="47" t="str">
        <f>_xlfn.DISPIMG("ID_2C3E025C6200473D95F02C661C8515F1",1)</f>
        <v>=DISPIMG("ID_2C3E025C6200473D95F02C661C8515F1",1)</v>
      </c>
    </row>
    <row r="44" s="2" customFormat="1" ht="78.55" spans="1:10">
      <c r="A44" s="6">
        <v>43</v>
      </c>
      <c r="B44" s="7" t="s">
        <v>101</v>
      </c>
      <c r="C44" s="8" t="s">
        <v>102</v>
      </c>
      <c r="D44" s="39">
        <v>1</v>
      </c>
      <c r="E44" s="39" t="s">
        <v>12</v>
      </c>
      <c r="F44" s="10">
        <v>4</v>
      </c>
      <c r="G44" s="11">
        <f t="shared" si="0"/>
        <v>4</v>
      </c>
      <c r="H44" s="12" t="s">
        <v>13</v>
      </c>
      <c r="I44" s="6" t="s">
        <v>14</v>
      </c>
      <c r="J44" s="47" t="str">
        <f>_xlfn.DISPIMG("ID_7982F9667D9F46A3B89848B4C84E08C1",1)</f>
        <v>=DISPIMG("ID_7982F9667D9F46A3B89848B4C84E08C1",1)</v>
      </c>
    </row>
    <row r="45" s="2" customFormat="1" ht="62.6" spans="1:10">
      <c r="A45" s="6">
        <v>44</v>
      </c>
      <c r="B45" s="7" t="s">
        <v>103</v>
      </c>
      <c r="C45" s="8" t="s">
        <v>104</v>
      </c>
      <c r="D45" s="18">
        <v>3</v>
      </c>
      <c r="E45" s="18" t="s">
        <v>12</v>
      </c>
      <c r="F45" s="19">
        <v>12</v>
      </c>
      <c r="G45" s="11">
        <f t="shared" si="0"/>
        <v>36</v>
      </c>
      <c r="H45" s="12" t="s">
        <v>13</v>
      </c>
      <c r="I45" s="6" t="s">
        <v>14</v>
      </c>
      <c r="J45" s="41" t="str">
        <f>_xlfn.DISPIMG("ID_3D333836D29B402E9B47D81496E24FF2",1)</f>
        <v>=DISPIMG("ID_3D333836D29B402E9B47D81496E24FF2",1)</v>
      </c>
    </row>
    <row r="46" s="2" customFormat="1" ht="84" spans="1:10">
      <c r="A46" s="6">
        <v>45</v>
      </c>
      <c r="B46" s="37" t="s">
        <v>105</v>
      </c>
      <c r="C46" s="44" t="s">
        <v>106</v>
      </c>
      <c r="D46" s="28">
        <v>2</v>
      </c>
      <c r="E46" s="29" t="s">
        <v>17</v>
      </c>
      <c r="F46" s="30">
        <v>17</v>
      </c>
      <c r="G46" s="11">
        <f t="shared" si="0"/>
        <v>34</v>
      </c>
      <c r="H46" s="12" t="s">
        <v>13</v>
      </c>
      <c r="I46" s="6" t="s">
        <v>14</v>
      </c>
      <c r="J46" s="26" t="str">
        <f>_xlfn.DISPIMG("ID_629E0C832C4543799B7C6EE1CFA4239B",1)</f>
        <v>=DISPIMG("ID_629E0C832C4543799B7C6EE1CFA4239B",1)</v>
      </c>
    </row>
    <row r="47" s="2" customFormat="1" ht="75" spans="1:10">
      <c r="A47" s="6">
        <v>46</v>
      </c>
      <c r="B47" s="38" t="s">
        <v>107</v>
      </c>
      <c r="C47" s="38" t="s">
        <v>108</v>
      </c>
      <c r="D47" s="25">
        <v>5</v>
      </c>
      <c r="E47" s="25" t="s">
        <v>12</v>
      </c>
      <c r="F47" s="25">
        <v>9</v>
      </c>
      <c r="G47" s="11">
        <f t="shared" si="0"/>
        <v>45</v>
      </c>
      <c r="H47" s="12" t="s">
        <v>13</v>
      </c>
      <c r="I47" s="6" t="s">
        <v>14</v>
      </c>
      <c r="J47" s="50" t="str">
        <f>_xlfn.DISPIMG("ID_9201BBAB664D4F899C19A3173415C416",1)</f>
        <v>=DISPIMG("ID_9201BBAB664D4F899C19A3173415C416",1)</v>
      </c>
    </row>
    <row r="48" s="2" customFormat="1" ht="123.75" spans="1:10">
      <c r="A48" s="6">
        <v>47</v>
      </c>
      <c r="B48" s="17" t="s">
        <v>109</v>
      </c>
      <c r="C48" s="8" t="s">
        <v>110</v>
      </c>
      <c r="D48" s="9">
        <v>1</v>
      </c>
      <c r="E48" s="9" t="s">
        <v>12</v>
      </c>
      <c r="F48" s="10">
        <v>38</v>
      </c>
      <c r="G48" s="11">
        <f t="shared" si="0"/>
        <v>38</v>
      </c>
      <c r="H48" s="12" t="s">
        <v>13</v>
      </c>
      <c r="I48" s="6" t="s">
        <v>14</v>
      </c>
      <c r="J48" s="47" t="str">
        <f>_xlfn.DISPIMG("ID_4AB49ED0D18C47D7A128B91C4FF772DC",1)</f>
        <v>=DISPIMG("ID_4AB49ED0D18C47D7A128B91C4FF772DC",1)</v>
      </c>
    </row>
    <row r="49" s="2" customFormat="1" ht="187.1" spans="1:10">
      <c r="A49" s="6">
        <v>48</v>
      </c>
      <c r="B49" s="17" t="s">
        <v>111</v>
      </c>
      <c r="C49" s="8" t="s">
        <v>59</v>
      </c>
      <c r="D49" s="9">
        <v>1</v>
      </c>
      <c r="E49" s="9" t="s">
        <v>17</v>
      </c>
      <c r="F49" s="10">
        <v>25</v>
      </c>
      <c r="G49" s="11">
        <f t="shared" si="0"/>
        <v>25</v>
      </c>
      <c r="H49" s="12" t="s">
        <v>13</v>
      </c>
      <c r="I49" s="6" t="s">
        <v>14</v>
      </c>
      <c r="J49" s="54" t="str">
        <f>_xlfn.DISPIMG("ID_F436F2396FBE4E0E83FD8791D9D21F2B",1)</f>
        <v>=DISPIMG("ID_F436F2396FBE4E0E83FD8791D9D21F2B",1)</v>
      </c>
    </row>
    <row r="50" s="2" customFormat="1" ht="158.05" spans="1:10">
      <c r="A50" s="6">
        <v>49</v>
      </c>
      <c r="B50" s="13" t="s">
        <v>112</v>
      </c>
      <c r="C50" s="42" t="s">
        <v>113</v>
      </c>
      <c r="D50" s="25">
        <v>3</v>
      </c>
      <c r="E50" s="25" t="s">
        <v>17</v>
      </c>
      <c r="F50" s="43">
        <v>34</v>
      </c>
      <c r="G50" s="11">
        <f t="shared" si="0"/>
        <v>102</v>
      </c>
      <c r="H50" s="12" t="s">
        <v>13</v>
      </c>
      <c r="I50" s="6" t="s">
        <v>14</v>
      </c>
      <c r="J50" s="57" t="str">
        <f>_xlfn.DISPIMG("ID_4AD528B11ED24398BA65F619D2DF0BC3",1)</f>
        <v>=DISPIMG("ID_4AD528B11ED24398BA65F619D2DF0BC3",1)</v>
      </c>
    </row>
    <row r="51" s="2" customFormat="1" ht="57" spans="1:10">
      <c r="A51" s="6">
        <v>50</v>
      </c>
      <c r="B51" s="7" t="s">
        <v>114</v>
      </c>
      <c r="C51" s="8" t="s">
        <v>115</v>
      </c>
      <c r="D51" s="18">
        <v>3</v>
      </c>
      <c r="E51" s="18" t="s">
        <v>12</v>
      </c>
      <c r="F51" s="19">
        <v>135</v>
      </c>
      <c r="G51" s="11">
        <f t="shared" si="0"/>
        <v>405</v>
      </c>
      <c r="H51" s="12" t="s">
        <v>13</v>
      </c>
      <c r="I51" s="6" t="s">
        <v>14</v>
      </c>
      <c r="J51" s="51" t="str">
        <f>_xlfn.DISPIMG("ID_54094C7F31B241F7B25DFF599CDA9D9A",1)</f>
        <v>=DISPIMG("ID_54094C7F31B241F7B25DFF599CDA9D9A",1)</v>
      </c>
    </row>
    <row r="52" s="2" customFormat="1" ht="64.5" spans="1:10">
      <c r="A52" s="6">
        <v>51</v>
      </c>
      <c r="B52" s="38" t="s">
        <v>116</v>
      </c>
      <c r="C52" s="38" t="s">
        <v>117</v>
      </c>
      <c r="D52" s="25">
        <v>50</v>
      </c>
      <c r="E52" s="25" t="s">
        <v>17</v>
      </c>
      <c r="F52" s="25">
        <v>4</v>
      </c>
      <c r="G52" s="11">
        <f t="shared" si="0"/>
        <v>200</v>
      </c>
      <c r="H52" s="12" t="s">
        <v>13</v>
      </c>
      <c r="I52" s="6" t="s">
        <v>14</v>
      </c>
      <c r="J52" s="50" t="str">
        <f>_xlfn.DISPIMG("ID_943CCDC7B4974DD58F83D0DDCC08E6C1",1)</f>
        <v>=DISPIMG("ID_943CCDC7B4974DD58F83D0DDCC08E6C1",1)</v>
      </c>
    </row>
    <row r="53" s="2" customFormat="1" ht="59.9" spans="1:10">
      <c r="A53" s="6">
        <v>52</v>
      </c>
      <c r="B53" s="13" t="s">
        <v>118</v>
      </c>
      <c r="C53" s="14" t="s">
        <v>119</v>
      </c>
      <c r="D53" s="15">
        <v>3</v>
      </c>
      <c r="E53" s="15" t="s">
        <v>12</v>
      </c>
      <c r="F53" s="16">
        <v>21</v>
      </c>
      <c r="G53" s="11">
        <f t="shared" si="0"/>
        <v>63</v>
      </c>
      <c r="H53" s="12" t="s">
        <v>13</v>
      </c>
      <c r="I53" s="6" t="s">
        <v>14</v>
      </c>
      <c r="J53" s="48" t="str">
        <f>_xlfn.DISPIMG("ID_5C1D1C39EB214641BB4DF72F72AE1BED",1)</f>
        <v>=DISPIMG("ID_5C1D1C39EB214641BB4DF72F72AE1BED",1)</v>
      </c>
    </row>
    <row r="54" s="2" customFormat="1" ht="84.1" spans="1:10">
      <c r="A54" s="6">
        <v>53</v>
      </c>
      <c r="B54" s="38" t="s">
        <v>120</v>
      </c>
      <c r="C54" s="38" t="s">
        <v>121</v>
      </c>
      <c r="D54" s="25">
        <v>10</v>
      </c>
      <c r="E54" s="25" t="s">
        <v>17</v>
      </c>
      <c r="F54" s="25">
        <v>13</v>
      </c>
      <c r="G54" s="11">
        <f t="shared" si="0"/>
        <v>130</v>
      </c>
      <c r="H54" s="12" t="s">
        <v>13</v>
      </c>
      <c r="I54" s="6" t="s">
        <v>14</v>
      </c>
      <c r="J54" s="50" t="str">
        <f>_xlfn.DISPIMG("ID_DE099A2B7DB44F2C9386969922F9DEA2",1)</f>
        <v>=DISPIMG("ID_DE099A2B7DB44F2C9386969922F9DEA2",1)</v>
      </c>
    </row>
    <row r="55" s="2" customFormat="1" ht="73.3" spans="1:10">
      <c r="A55" s="6">
        <v>54</v>
      </c>
      <c r="B55" s="7" t="s">
        <v>122</v>
      </c>
      <c r="C55" s="8" t="s">
        <v>123</v>
      </c>
      <c r="D55" s="18">
        <v>3</v>
      </c>
      <c r="E55" s="18" t="s">
        <v>67</v>
      </c>
      <c r="F55" s="19">
        <v>52</v>
      </c>
      <c r="G55" s="11">
        <f t="shared" si="0"/>
        <v>156</v>
      </c>
      <c r="H55" s="12" t="s">
        <v>13</v>
      </c>
      <c r="I55" s="6" t="s">
        <v>14</v>
      </c>
      <c r="J55" s="41" t="str">
        <f>_xlfn.DISPIMG("ID_5816266D5FB241EDBBD437D06E1B9929",1)</f>
        <v>=DISPIMG("ID_5816266D5FB241EDBBD437D06E1B9929",1)</v>
      </c>
    </row>
    <row r="56" s="2" customFormat="1" ht="43.85" spans="1:10">
      <c r="A56" s="6">
        <v>55</v>
      </c>
      <c r="B56" s="39" t="s">
        <v>124</v>
      </c>
      <c r="C56" s="34" t="s">
        <v>125</v>
      </c>
      <c r="D56" s="18">
        <v>3</v>
      </c>
      <c r="E56" s="18" t="s">
        <v>12</v>
      </c>
      <c r="F56" s="19">
        <v>21</v>
      </c>
      <c r="G56" s="11">
        <f t="shared" si="0"/>
        <v>63</v>
      </c>
      <c r="H56" s="12" t="s">
        <v>13</v>
      </c>
      <c r="I56" s="6" t="s">
        <v>14</v>
      </c>
      <c r="J56" s="41" t="str">
        <f>_xlfn.DISPIMG("ID_D7A47D7D3B6645D4B8322F4F10F61B98",1)</f>
        <v>=DISPIMG("ID_D7A47D7D3B6645D4B8322F4F10F61B98",1)</v>
      </c>
    </row>
    <row r="57" s="2" customFormat="1" ht="57.95" spans="1:10">
      <c r="A57" s="6">
        <v>56</v>
      </c>
      <c r="B57" s="7" t="s">
        <v>126</v>
      </c>
      <c r="C57" s="8" t="s">
        <v>127</v>
      </c>
      <c r="D57" s="18">
        <v>3</v>
      </c>
      <c r="E57" s="18" t="s">
        <v>17</v>
      </c>
      <c r="F57" s="19">
        <v>12</v>
      </c>
      <c r="G57" s="11">
        <f t="shared" si="0"/>
        <v>36</v>
      </c>
      <c r="H57" s="12" t="s">
        <v>13</v>
      </c>
      <c r="I57" s="6" t="s">
        <v>14</v>
      </c>
      <c r="J57" s="41" t="str">
        <f>_xlfn.DISPIMG("ID_F80D620218824A4681003A7B8881DA20",1)</f>
        <v>=DISPIMG("ID_F80D620218824A4681003A7B8881DA20",1)</v>
      </c>
    </row>
    <row r="58" s="2" customFormat="1" ht="58.6" spans="1:10">
      <c r="A58" s="6">
        <v>57</v>
      </c>
      <c r="B58" s="7" t="s">
        <v>128</v>
      </c>
      <c r="C58" s="8" t="s">
        <v>129</v>
      </c>
      <c r="D58" s="18">
        <v>3</v>
      </c>
      <c r="E58" s="18" t="s">
        <v>17</v>
      </c>
      <c r="F58" s="19">
        <v>24</v>
      </c>
      <c r="G58" s="11">
        <f t="shared" si="0"/>
        <v>72</v>
      </c>
      <c r="H58" s="12" t="s">
        <v>13</v>
      </c>
      <c r="I58" s="6" t="s">
        <v>14</v>
      </c>
      <c r="J58" s="51" t="str">
        <f>_xlfn.DISPIMG("ID_812B73BCFD4A44D9ACFA25ED5785F368",1)</f>
        <v>=DISPIMG("ID_812B73BCFD4A44D9ACFA25ED5785F368",1)</v>
      </c>
    </row>
    <row r="59" s="2" customFormat="1" ht="79.65" spans="1:10">
      <c r="A59" s="6">
        <v>58</v>
      </c>
      <c r="B59" s="7" t="s">
        <v>130</v>
      </c>
      <c r="C59" s="8" t="s">
        <v>131</v>
      </c>
      <c r="D59" s="18">
        <v>3</v>
      </c>
      <c r="E59" s="18" t="s">
        <v>64</v>
      </c>
      <c r="F59" s="19">
        <v>52</v>
      </c>
      <c r="G59" s="11">
        <f t="shared" si="0"/>
        <v>156</v>
      </c>
      <c r="H59" s="12" t="s">
        <v>13</v>
      </c>
      <c r="I59" s="6" t="s">
        <v>14</v>
      </c>
      <c r="J59" s="41" t="str">
        <f>_xlfn.DISPIMG("ID_3AFF8A5462BF494B9BE1C0F95641371B",1)</f>
        <v>=DISPIMG("ID_3AFF8A5462BF494B9BE1C0F95641371B",1)</v>
      </c>
    </row>
    <row r="60" s="2" customFormat="1" ht="96" spans="1:10">
      <c r="A60" s="6">
        <v>59</v>
      </c>
      <c r="B60" s="13" t="s">
        <v>132</v>
      </c>
      <c r="C60" s="42" t="s">
        <v>133</v>
      </c>
      <c r="D60" s="15">
        <v>3</v>
      </c>
      <c r="E60" s="15" t="s">
        <v>17</v>
      </c>
      <c r="F60" s="16">
        <v>66</v>
      </c>
      <c r="G60" s="11">
        <f t="shared" si="0"/>
        <v>198</v>
      </c>
      <c r="H60" s="12" t="s">
        <v>13</v>
      </c>
      <c r="I60" s="6" t="s">
        <v>14</v>
      </c>
      <c r="J60" s="48" t="str">
        <f>_xlfn.DISPIMG("ID_A2BFA46E5FF94E6BA947F034238E9C64",1)</f>
        <v>=DISPIMG("ID_A2BFA46E5FF94E6BA947F034238E9C64",1)</v>
      </c>
    </row>
    <row r="61" s="2" customFormat="1" ht="57" spans="1:10">
      <c r="A61" s="6">
        <v>60</v>
      </c>
      <c r="B61" s="39" t="s">
        <v>134</v>
      </c>
      <c r="C61" s="34" t="s">
        <v>135</v>
      </c>
      <c r="D61" s="18">
        <v>9</v>
      </c>
      <c r="E61" s="18" t="s">
        <v>17</v>
      </c>
      <c r="F61" s="19">
        <v>4</v>
      </c>
      <c r="G61" s="11">
        <f t="shared" si="0"/>
        <v>36</v>
      </c>
      <c r="H61" s="12" t="s">
        <v>13</v>
      </c>
      <c r="I61" s="6" t="s">
        <v>14</v>
      </c>
      <c r="J61" s="41" t="str">
        <f>_xlfn.DISPIMG("ID_87633A9052A943A1BDFE3256F08CBA05",1)</f>
        <v>=DISPIMG("ID_87633A9052A943A1BDFE3256F08CBA05",1)</v>
      </c>
    </row>
    <row r="62" s="2" customFormat="1" ht="42.75" spans="1:10">
      <c r="A62" s="6">
        <v>61</v>
      </c>
      <c r="B62" s="7" t="s">
        <v>136</v>
      </c>
      <c r="C62" s="45" t="s">
        <v>137</v>
      </c>
      <c r="D62" s="9">
        <v>1</v>
      </c>
      <c r="E62" s="9" t="s">
        <v>17</v>
      </c>
      <c r="F62" s="10">
        <v>4</v>
      </c>
      <c r="G62" s="11">
        <f t="shared" si="0"/>
        <v>4</v>
      </c>
      <c r="H62" s="12" t="s">
        <v>13</v>
      </c>
      <c r="I62" s="6" t="s">
        <v>14</v>
      </c>
      <c r="J62" s="47" t="str">
        <f>_xlfn.DISPIMG("ID_7535B31B2F984293B79D7E798EEA90A5",1)</f>
        <v>=DISPIMG("ID_7535B31B2F984293B79D7E798EEA90A5",1)</v>
      </c>
    </row>
    <row r="63" s="2" customFormat="1" ht="159.85" spans="1:10">
      <c r="A63" s="6">
        <v>62</v>
      </c>
      <c r="B63" s="7" t="s">
        <v>138</v>
      </c>
      <c r="C63" s="8" t="s">
        <v>139</v>
      </c>
      <c r="D63" s="18">
        <v>3</v>
      </c>
      <c r="E63" s="18" t="s">
        <v>12</v>
      </c>
      <c r="F63" s="19">
        <v>66</v>
      </c>
      <c r="G63" s="11">
        <f t="shared" si="0"/>
        <v>198</v>
      </c>
      <c r="H63" s="12" t="s">
        <v>13</v>
      </c>
      <c r="I63" s="6" t="s">
        <v>14</v>
      </c>
      <c r="J63" s="51" t="str">
        <f>_xlfn.DISPIMG("ID_0D80A015752041AE93EFDA8B10EC59B8",1)</f>
        <v>=DISPIMG("ID_0D80A015752041AE93EFDA8B10EC59B8",1)</v>
      </c>
    </row>
    <row r="64" s="2" customFormat="1" ht="60" spans="1:10">
      <c r="A64" s="6">
        <v>63</v>
      </c>
      <c r="B64" s="13" t="s">
        <v>140</v>
      </c>
      <c r="C64" s="14" t="s">
        <v>141</v>
      </c>
      <c r="D64" s="25">
        <v>3</v>
      </c>
      <c r="E64" s="25" t="s">
        <v>17</v>
      </c>
      <c r="F64" s="43">
        <v>34</v>
      </c>
      <c r="G64" s="11">
        <f t="shared" si="0"/>
        <v>102</v>
      </c>
      <c r="H64" s="12" t="s">
        <v>13</v>
      </c>
      <c r="I64" s="6" t="s">
        <v>14</v>
      </c>
      <c r="J64" s="57" t="str">
        <f>_xlfn.DISPIMG("ID_1FF6155EC9FD414CBA0B3971239327C3",1)</f>
        <v>=DISPIMG("ID_1FF6155EC9FD414CBA0B3971239327C3",1)</v>
      </c>
    </row>
    <row r="65" s="2" customFormat="1" ht="42.3" spans="1:10">
      <c r="A65" s="6">
        <v>64</v>
      </c>
      <c r="B65" s="21" t="s">
        <v>142</v>
      </c>
      <c r="C65" s="36" t="s">
        <v>143</v>
      </c>
      <c r="D65" s="25">
        <v>360</v>
      </c>
      <c r="E65" s="6" t="s">
        <v>28</v>
      </c>
      <c r="F65" s="23">
        <v>17</v>
      </c>
      <c r="G65" s="11">
        <f t="shared" si="0"/>
        <v>6120</v>
      </c>
      <c r="H65" s="12" t="s">
        <v>13</v>
      </c>
      <c r="I65" s="6" t="s">
        <v>14</v>
      </c>
      <c r="J65" s="56" t="str">
        <f>_xlfn.DISPIMG("ID_F3A2150DBBDD42DABF66B3A638B910BE",1)</f>
        <v>=DISPIMG("ID_F3A2150DBBDD42DABF66B3A638B910BE",1)</v>
      </c>
    </row>
    <row r="66" s="2" customFormat="1" ht="56.35" spans="1:10">
      <c r="A66" s="6">
        <v>65</v>
      </c>
      <c r="B66" s="39" t="s">
        <v>144</v>
      </c>
      <c r="C66" s="58" t="s">
        <v>145</v>
      </c>
      <c r="D66" s="18">
        <v>3</v>
      </c>
      <c r="E66" s="18" t="s">
        <v>12</v>
      </c>
      <c r="F66" s="19">
        <v>49</v>
      </c>
      <c r="G66" s="11">
        <f t="shared" ref="G66:G129" si="1">F66*D66</f>
        <v>147</v>
      </c>
      <c r="H66" s="12" t="s">
        <v>13</v>
      </c>
      <c r="I66" s="6" t="s">
        <v>14</v>
      </c>
      <c r="J66" s="41" t="str">
        <f>_xlfn.DISPIMG("ID_D3CF806F189847CBA2B12E01DABF509A",1)</f>
        <v>=DISPIMG("ID_D3CF806F189847CBA2B12E01DABF509A",1)</v>
      </c>
    </row>
    <row r="67" s="2" customFormat="1" ht="94.35" spans="1:10">
      <c r="A67" s="6">
        <v>66</v>
      </c>
      <c r="B67" s="59" t="s">
        <v>83</v>
      </c>
      <c r="C67" s="59" t="s">
        <v>146</v>
      </c>
      <c r="D67" s="25">
        <v>5</v>
      </c>
      <c r="E67" s="25" t="s">
        <v>17</v>
      </c>
      <c r="F67" s="25">
        <v>108</v>
      </c>
      <c r="G67" s="11">
        <f t="shared" si="1"/>
        <v>540</v>
      </c>
      <c r="H67" s="12" t="s">
        <v>13</v>
      </c>
      <c r="I67" s="6" t="s">
        <v>14</v>
      </c>
      <c r="J67" s="50" t="str">
        <f>_xlfn.DISPIMG("ID_A0E45BBF8D6C458BB57FFD2E6D880C94",1)</f>
        <v>=DISPIMG("ID_A0E45BBF8D6C458BB57FFD2E6D880C94",1)</v>
      </c>
    </row>
    <row r="68" s="2" customFormat="1" ht="60" spans="1:10">
      <c r="A68" s="6">
        <v>67</v>
      </c>
      <c r="B68" s="24" t="s">
        <v>147</v>
      </c>
      <c r="C68" s="38" t="s">
        <v>148</v>
      </c>
      <c r="D68" s="25">
        <v>50</v>
      </c>
      <c r="E68" s="25" t="s">
        <v>17</v>
      </c>
      <c r="F68" s="25">
        <v>5</v>
      </c>
      <c r="G68" s="11">
        <f t="shared" si="1"/>
        <v>250</v>
      </c>
      <c r="H68" s="12" t="s">
        <v>13</v>
      </c>
      <c r="I68" s="6" t="s">
        <v>14</v>
      </c>
      <c r="J68" s="50" t="str">
        <f>_xlfn.DISPIMG("ID_AF4936A2FDE1428A92D1A64C09D114D7",1)</f>
        <v>=DISPIMG("ID_AF4936A2FDE1428A92D1A64C09D114D7",1)</v>
      </c>
    </row>
    <row r="69" s="2" customFormat="1" ht="72" spans="1:10">
      <c r="A69" s="6">
        <v>68</v>
      </c>
      <c r="B69" s="26" t="s">
        <v>149</v>
      </c>
      <c r="C69" s="44" t="s">
        <v>150</v>
      </c>
      <c r="D69" s="28">
        <v>4</v>
      </c>
      <c r="E69" s="29" t="s">
        <v>12</v>
      </c>
      <c r="F69" s="30">
        <v>75</v>
      </c>
      <c r="G69" s="11">
        <f t="shared" si="1"/>
        <v>300</v>
      </c>
      <c r="H69" s="12" t="s">
        <v>13</v>
      </c>
      <c r="I69" s="6" t="s">
        <v>14</v>
      </c>
      <c r="J69" s="22" t="str">
        <f>_xlfn.DISPIMG("ID_7640191DF1DC43BB97D14EE1272FAEA8",1)</f>
        <v>=DISPIMG("ID_7640191DF1DC43BB97D14EE1272FAEA8",1)</v>
      </c>
    </row>
    <row r="70" s="2" customFormat="1" ht="48.65" spans="1:10">
      <c r="A70" s="6">
        <v>69</v>
      </c>
      <c r="B70" s="17" t="s">
        <v>151</v>
      </c>
      <c r="C70" s="20" t="s">
        <v>152</v>
      </c>
      <c r="D70" s="10">
        <v>1</v>
      </c>
      <c r="E70" s="10" t="s">
        <v>12</v>
      </c>
      <c r="F70" s="10">
        <v>13</v>
      </c>
      <c r="G70" s="11">
        <f t="shared" si="1"/>
        <v>13</v>
      </c>
      <c r="H70" s="12" t="s">
        <v>13</v>
      </c>
      <c r="I70" s="6" t="s">
        <v>14</v>
      </c>
      <c r="J70" s="47" t="str">
        <f>_xlfn.DISPIMG("ID_18398F9DFADE4350A27FC7EFA92FBA95",1)</f>
        <v>=DISPIMG("ID_18398F9DFADE4350A27FC7EFA92FBA95",1)</v>
      </c>
    </row>
    <row r="71" s="2" customFormat="1" ht="72" spans="1:10">
      <c r="A71" s="6">
        <v>70</v>
      </c>
      <c r="B71" s="26" t="s">
        <v>153</v>
      </c>
      <c r="C71" s="26" t="s">
        <v>154</v>
      </c>
      <c r="D71" s="28">
        <v>4</v>
      </c>
      <c r="E71" s="29" t="s">
        <v>17</v>
      </c>
      <c r="F71" s="30">
        <v>75</v>
      </c>
      <c r="G71" s="11">
        <f t="shared" si="1"/>
        <v>300</v>
      </c>
      <c r="H71" s="12" t="s">
        <v>13</v>
      </c>
      <c r="I71" s="6" t="s">
        <v>14</v>
      </c>
      <c r="J71" s="26" t="str">
        <f>_xlfn.DISPIMG("ID_0DE7B7D1F0AF4E85B1809CC36C713B53",1)</f>
        <v>=DISPIMG("ID_0DE7B7D1F0AF4E85B1809CC36C713B53",1)</v>
      </c>
    </row>
    <row r="72" s="2" customFormat="1" ht="60" spans="1:10">
      <c r="A72" s="6">
        <v>71</v>
      </c>
      <c r="B72" s="26" t="s">
        <v>155</v>
      </c>
      <c r="C72" s="44" t="s">
        <v>156</v>
      </c>
      <c r="D72" s="28">
        <v>2</v>
      </c>
      <c r="E72" s="29" t="s">
        <v>17</v>
      </c>
      <c r="F72" s="30">
        <v>11</v>
      </c>
      <c r="G72" s="11">
        <f t="shared" si="1"/>
        <v>22</v>
      </c>
      <c r="H72" s="12" t="s">
        <v>13</v>
      </c>
      <c r="I72" s="6" t="s">
        <v>14</v>
      </c>
      <c r="J72" s="26" t="str">
        <f>_xlfn.DISPIMG("ID_636C81272525427E88A55AD25C0470EC",1)</f>
        <v>=DISPIMG("ID_636C81272525427E88A55AD25C0470EC",1)</v>
      </c>
    </row>
    <row r="73" s="2" customFormat="1" ht="141.6" spans="1:10">
      <c r="A73" s="6">
        <v>72</v>
      </c>
      <c r="B73" s="7" t="s">
        <v>157</v>
      </c>
      <c r="C73" s="8" t="s">
        <v>158</v>
      </c>
      <c r="D73" s="9">
        <v>1</v>
      </c>
      <c r="E73" s="9" t="s">
        <v>12</v>
      </c>
      <c r="F73" s="10">
        <v>22</v>
      </c>
      <c r="G73" s="11">
        <f t="shared" si="1"/>
        <v>22</v>
      </c>
      <c r="H73" s="12" t="s">
        <v>13</v>
      </c>
      <c r="I73" s="6" t="s">
        <v>14</v>
      </c>
      <c r="J73" s="47" t="str">
        <f>_xlfn.DISPIMG("ID_413CD7C0FCA94F8C9CD747158CCFE407",1)</f>
        <v>=DISPIMG("ID_413CD7C0FCA94F8C9CD747158CCFE407",1)</v>
      </c>
    </row>
    <row r="74" s="2" customFormat="1" ht="64.65" spans="1:10">
      <c r="A74" s="6">
        <v>73</v>
      </c>
      <c r="B74" s="26" t="s">
        <v>159</v>
      </c>
      <c r="C74" s="44" t="s">
        <v>160</v>
      </c>
      <c r="D74" s="28">
        <v>2</v>
      </c>
      <c r="E74" s="29" t="s">
        <v>12</v>
      </c>
      <c r="F74" s="30">
        <v>11</v>
      </c>
      <c r="G74" s="11">
        <f t="shared" si="1"/>
        <v>22</v>
      </c>
      <c r="H74" s="12" t="s">
        <v>13</v>
      </c>
      <c r="I74" s="6" t="s">
        <v>14</v>
      </c>
      <c r="J74" s="26" t="str">
        <f>_xlfn.DISPIMG("ID_954E8868024F44E8A6660C4D1952552E",1)</f>
        <v>=DISPIMG("ID_954E8868024F44E8A6660C4D1952552E",1)</v>
      </c>
    </row>
    <row r="75" s="2" customFormat="1" ht="46.65" spans="1:10">
      <c r="A75" s="6">
        <v>74</v>
      </c>
      <c r="B75" s="7" t="s">
        <v>161</v>
      </c>
      <c r="C75" s="8" t="s">
        <v>162</v>
      </c>
      <c r="D75" s="18">
        <v>3</v>
      </c>
      <c r="E75" s="18" t="s">
        <v>12</v>
      </c>
      <c r="F75" s="19">
        <v>17</v>
      </c>
      <c r="G75" s="11">
        <f t="shared" si="1"/>
        <v>51</v>
      </c>
      <c r="H75" s="12" t="s">
        <v>13</v>
      </c>
      <c r="I75" s="6" t="s">
        <v>14</v>
      </c>
      <c r="J75" s="49" t="str">
        <f>_xlfn.DISPIMG("ID_DDF11CCB0D6A45928A4F2C8ADFEF6B96",1)</f>
        <v>=DISPIMG("ID_DDF11CCB0D6A45928A4F2C8ADFEF6B96",1)</v>
      </c>
    </row>
    <row r="76" s="2" customFormat="1" ht="67.35" spans="1:10">
      <c r="A76" s="6">
        <v>75</v>
      </c>
      <c r="B76" s="39" t="s">
        <v>163</v>
      </c>
      <c r="C76" s="60" t="s">
        <v>164</v>
      </c>
      <c r="D76" s="18">
        <v>6</v>
      </c>
      <c r="E76" s="18" t="s">
        <v>17</v>
      </c>
      <c r="F76" s="19">
        <v>17</v>
      </c>
      <c r="G76" s="11">
        <f t="shared" si="1"/>
        <v>102</v>
      </c>
      <c r="H76" s="12" t="s">
        <v>13</v>
      </c>
      <c r="I76" s="6" t="s">
        <v>14</v>
      </c>
      <c r="J76" s="49" t="str">
        <f>_xlfn.DISPIMG("ID_3CD51CAD8B9B41A6B0EF7288D81FA008",1)</f>
        <v>=DISPIMG("ID_3CD51CAD8B9B41A6B0EF7288D81FA008",1)</v>
      </c>
    </row>
    <row r="77" s="2" customFormat="1" ht="133.15" spans="1:10">
      <c r="A77" s="6">
        <v>76</v>
      </c>
      <c r="B77" s="7" t="s">
        <v>165</v>
      </c>
      <c r="C77" s="8" t="s">
        <v>166</v>
      </c>
      <c r="D77" s="18">
        <v>3</v>
      </c>
      <c r="E77" s="18" t="s">
        <v>12</v>
      </c>
      <c r="F77" s="19">
        <v>47</v>
      </c>
      <c r="G77" s="11">
        <f t="shared" si="1"/>
        <v>141</v>
      </c>
      <c r="H77" s="12" t="s">
        <v>13</v>
      </c>
      <c r="I77" s="6" t="s">
        <v>14</v>
      </c>
      <c r="J77" s="52" t="str">
        <f>_xlfn.DISPIMG("ID_0E4ADF449F004B2E997E2A6ACAE8B6F0",1)</f>
        <v>=DISPIMG("ID_0E4ADF449F004B2E997E2A6ACAE8B6F0",1)</v>
      </c>
    </row>
    <row r="78" s="2" customFormat="1" ht="50.45" spans="1:10">
      <c r="A78" s="6">
        <v>77</v>
      </c>
      <c r="B78" s="13" t="s">
        <v>167</v>
      </c>
      <c r="C78" s="14" t="s">
        <v>168</v>
      </c>
      <c r="D78" s="15">
        <v>3</v>
      </c>
      <c r="E78" s="15" t="s">
        <v>17</v>
      </c>
      <c r="F78" s="16">
        <v>8</v>
      </c>
      <c r="G78" s="11">
        <f t="shared" si="1"/>
        <v>24</v>
      </c>
      <c r="H78" s="12" t="s">
        <v>13</v>
      </c>
      <c r="I78" s="6" t="s">
        <v>14</v>
      </c>
      <c r="J78" s="48" t="str">
        <f>_xlfn.DISPIMG("ID_AF3DB71A27B4448F98BA4D391E8D5764",1)</f>
        <v>=DISPIMG("ID_AF3DB71A27B4448F98BA4D391E8D5764",1)</v>
      </c>
    </row>
    <row r="79" s="2" customFormat="1" ht="119.55" spans="1:10">
      <c r="A79" s="6">
        <v>78</v>
      </c>
      <c r="B79" s="61" t="s">
        <v>169</v>
      </c>
      <c r="C79" s="62" t="s">
        <v>170</v>
      </c>
      <c r="D79" s="61">
        <v>3</v>
      </c>
      <c r="E79" s="6" t="s">
        <v>64</v>
      </c>
      <c r="F79" s="23">
        <v>40</v>
      </c>
      <c r="G79" s="11">
        <f t="shared" si="1"/>
        <v>120</v>
      </c>
      <c r="H79" s="12" t="s">
        <v>13</v>
      </c>
      <c r="I79" s="6" t="s">
        <v>14</v>
      </c>
      <c r="J79" s="68" t="str">
        <f>_xlfn.DISPIMG("ID_21A66DC40E894FCAADA1C4C682819E44",1)</f>
        <v>=DISPIMG("ID_21A66DC40E894FCAADA1C4C682819E44",1)</v>
      </c>
    </row>
    <row r="80" s="2" customFormat="1" ht="99.95" spans="1:10">
      <c r="A80" s="6">
        <v>79</v>
      </c>
      <c r="B80" s="17" t="s">
        <v>171</v>
      </c>
      <c r="C80" s="20" t="s">
        <v>172</v>
      </c>
      <c r="D80" s="63">
        <v>1</v>
      </c>
      <c r="E80" s="63" t="s">
        <v>12</v>
      </c>
      <c r="F80" s="10">
        <v>70</v>
      </c>
      <c r="G80" s="11">
        <f t="shared" si="1"/>
        <v>70</v>
      </c>
      <c r="H80" s="12" t="s">
        <v>13</v>
      </c>
      <c r="I80" s="6" t="s">
        <v>14</v>
      </c>
      <c r="J80" s="47" t="str">
        <f>_xlfn.DISPIMG("ID_978707BC054C44E9BFC3ECBC90EBEB89",1)</f>
        <v>=DISPIMG("ID_978707BC054C44E9BFC3ECBC90EBEB89",1)</v>
      </c>
    </row>
    <row r="81" s="2" customFormat="1" ht="77.15" spans="1:10">
      <c r="A81" s="6">
        <v>80</v>
      </c>
      <c r="B81" s="7" t="s">
        <v>173</v>
      </c>
      <c r="C81" s="8" t="s">
        <v>174</v>
      </c>
      <c r="D81" s="18">
        <v>3</v>
      </c>
      <c r="E81" s="18" t="s">
        <v>12</v>
      </c>
      <c r="F81" s="19">
        <v>22</v>
      </c>
      <c r="G81" s="11">
        <f t="shared" si="1"/>
        <v>66</v>
      </c>
      <c r="H81" s="12" t="s">
        <v>13</v>
      </c>
      <c r="I81" s="6" t="s">
        <v>14</v>
      </c>
      <c r="J81" s="51" t="str">
        <f>_xlfn.DISPIMG("ID_4DB2C55A8AF049F2A1F3D490247E27B0",1)</f>
        <v>=DISPIMG("ID_4DB2C55A8AF049F2A1F3D490247E27B0",1)</v>
      </c>
    </row>
    <row r="82" s="2" customFormat="1" ht="56.7" spans="1:10">
      <c r="A82" s="6">
        <v>81</v>
      </c>
      <c r="B82" s="7" t="s">
        <v>175</v>
      </c>
      <c r="C82" s="8" t="s">
        <v>176</v>
      </c>
      <c r="D82" s="9">
        <v>10</v>
      </c>
      <c r="E82" s="9" t="s">
        <v>67</v>
      </c>
      <c r="F82" s="10">
        <v>2</v>
      </c>
      <c r="G82" s="11">
        <f t="shared" si="1"/>
        <v>20</v>
      </c>
      <c r="H82" s="12" t="s">
        <v>13</v>
      </c>
      <c r="I82" s="6" t="s">
        <v>14</v>
      </c>
      <c r="J82" s="47" t="str">
        <f>_xlfn.DISPIMG("ID_07F61CBE771948BB8DE4D0D4D6BD4EB5",1)</f>
        <v>=DISPIMG("ID_07F61CBE771948BB8DE4D0D4D6BD4EB5",1)</v>
      </c>
    </row>
    <row r="83" s="2" customFormat="1" ht="73.75" spans="1:10">
      <c r="A83" s="6">
        <v>82</v>
      </c>
      <c r="B83" s="7" t="s">
        <v>177</v>
      </c>
      <c r="C83" s="8" t="s">
        <v>178</v>
      </c>
      <c r="D83" s="9">
        <v>1</v>
      </c>
      <c r="E83" s="9" t="s">
        <v>12</v>
      </c>
      <c r="F83" s="10">
        <v>12</v>
      </c>
      <c r="G83" s="11">
        <f t="shared" si="1"/>
        <v>12</v>
      </c>
      <c r="H83" s="12" t="s">
        <v>13</v>
      </c>
      <c r="I83" s="6" t="s">
        <v>14</v>
      </c>
      <c r="J83" s="47" t="str">
        <f>_xlfn.DISPIMG("ID_AAEAB8CD19804F309A7B928671737C73",1)</f>
        <v>=DISPIMG("ID_AAEAB8CD19804F309A7B928671737C73",1)</v>
      </c>
    </row>
    <row r="84" s="2" customFormat="1" ht="57" spans="1:10">
      <c r="A84" s="6">
        <v>83</v>
      </c>
      <c r="B84" s="39" t="s">
        <v>179</v>
      </c>
      <c r="C84" s="60" t="s">
        <v>180</v>
      </c>
      <c r="D84" s="18">
        <v>3</v>
      </c>
      <c r="E84" s="18" t="s">
        <v>17</v>
      </c>
      <c r="F84" s="19">
        <v>4</v>
      </c>
      <c r="G84" s="11">
        <f t="shared" si="1"/>
        <v>12</v>
      </c>
      <c r="H84" s="12" t="s">
        <v>13</v>
      </c>
      <c r="I84" s="6" t="s">
        <v>14</v>
      </c>
      <c r="J84" s="49" t="str">
        <f>_xlfn.DISPIMG("ID_E50A60389AE44742A82BCB779AAC04FF",1)</f>
        <v>=DISPIMG("ID_E50A60389AE44742A82BCB779AAC04FF",1)</v>
      </c>
    </row>
    <row r="85" s="2" customFormat="1" ht="60.15" spans="1:10">
      <c r="A85" s="6">
        <v>84</v>
      </c>
      <c r="B85" s="37" t="s">
        <v>181</v>
      </c>
      <c r="C85" s="38" t="s">
        <v>182</v>
      </c>
      <c r="D85" s="25">
        <v>20</v>
      </c>
      <c r="E85" s="25" t="s">
        <v>17</v>
      </c>
      <c r="F85" s="25">
        <v>27</v>
      </c>
      <c r="G85" s="11">
        <f t="shared" si="1"/>
        <v>540</v>
      </c>
      <c r="H85" s="12" t="s">
        <v>13</v>
      </c>
      <c r="I85" s="6" t="s">
        <v>14</v>
      </c>
      <c r="J85" s="50" t="str">
        <f>_xlfn.DISPIMG("ID_306EBEB12F9949F2AFA84AA788BCBCB9",1)</f>
        <v>=DISPIMG("ID_306EBEB12F9949F2AFA84AA788BCBCB9",1)</v>
      </c>
    </row>
    <row r="86" s="2" customFormat="1" ht="72" spans="1:10">
      <c r="A86" s="6">
        <v>85</v>
      </c>
      <c r="B86" s="37" t="s">
        <v>183</v>
      </c>
      <c r="C86" s="44" t="s">
        <v>184</v>
      </c>
      <c r="D86" s="28">
        <v>4</v>
      </c>
      <c r="E86" s="29" t="s">
        <v>17</v>
      </c>
      <c r="F86" s="30">
        <v>19</v>
      </c>
      <c r="G86" s="11">
        <f t="shared" si="1"/>
        <v>76</v>
      </c>
      <c r="H86" s="12" t="s">
        <v>13</v>
      </c>
      <c r="I86" s="6" t="s">
        <v>14</v>
      </c>
      <c r="J86" s="26" t="str">
        <f>_xlfn.DISPIMG("ID_361AD56C0BC84DFB807C5F6EFA081EFA",1)</f>
        <v>=DISPIMG("ID_361AD56C0BC84DFB807C5F6EFA081EFA",1)</v>
      </c>
    </row>
    <row r="87" s="2" customFormat="1" ht="73.55" spans="1:10">
      <c r="A87" s="6">
        <v>86</v>
      </c>
      <c r="B87" s="64" t="s">
        <v>185</v>
      </c>
      <c r="C87" s="60" t="s">
        <v>186</v>
      </c>
      <c r="D87" s="18">
        <v>3</v>
      </c>
      <c r="E87" s="18" t="s">
        <v>12</v>
      </c>
      <c r="F87" s="19">
        <v>5</v>
      </c>
      <c r="G87" s="11">
        <f t="shared" si="1"/>
        <v>15</v>
      </c>
      <c r="H87" s="12" t="s">
        <v>13</v>
      </c>
      <c r="I87" s="6" t="s">
        <v>14</v>
      </c>
      <c r="J87" s="41" t="str">
        <f>_xlfn.DISPIMG("ID_AF739227001640C0A502B1E42C8C1554",1)</f>
        <v>=DISPIMG("ID_AF739227001640C0A502B1E42C8C1554",1)</v>
      </c>
    </row>
    <row r="88" s="2" customFormat="1" ht="134.3" spans="1:10">
      <c r="A88" s="6">
        <v>87</v>
      </c>
      <c r="B88" s="7" t="s">
        <v>187</v>
      </c>
      <c r="C88" s="8" t="s">
        <v>188</v>
      </c>
      <c r="D88" s="65">
        <v>1</v>
      </c>
      <c r="E88" s="65" t="s">
        <v>17</v>
      </c>
      <c r="F88" s="10">
        <v>57</v>
      </c>
      <c r="G88" s="11">
        <f t="shared" si="1"/>
        <v>57</v>
      </c>
      <c r="H88" s="12" t="s">
        <v>13</v>
      </c>
      <c r="I88" s="6" t="s">
        <v>14</v>
      </c>
      <c r="J88" s="47" t="str">
        <f>_xlfn.DISPIMG("ID_AAD23527412E4268BEA908A820E0F5A4",1)</f>
        <v>=DISPIMG("ID_AAD23527412E4268BEA908A820E0F5A4",1)</v>
      </c>
    </row>
    <row r="89" s="2" customFormat="1" ht="45.7" spans="1:10">
      <c r="A89" s="6">
        <v>88</v>
      </c>
      <c r="B89" s="17" t="s">
        <v>189</v>
      </c>
      <c r="C89" s="20" t="s">
        <v>190</v>
      </c>
      <c r="D89" s="63">
        <v>1</v>
      </c>
      <c r="E89" s="63" t="s">
        <v>12</v>
      </c>
      <c r="F89" s="10">
        <v>35</v>
      </c>
      <c r="G89" s="11">
        <f t="shared" si="1"/>
        <v>35</v>
      </c>
      <c r="H89" s="12" t="s">
        <v>13</v>
      </c>
      <c r="I89" s="6" t="s">
        <v>14</v>
      </c>
      <c r="J89" s="47" t="str">
        <f>_xlfn.DISPIMG("ID_80038674925E4E95BD6798F95626AD2C",1)</f>
        <v>=DISPIMG("ID_80038674925E4E95BD6798F95626AD2C",1)</v>
      </c>
    </row>
    <row r="90" s="2" customFormat="1" ht="84.35" spans="1:10">
      <c r="A90" s="6">
        <v>89</v>
      </c>
      <c r="B90" s="39" t="s">
        <v>191</v>
      </c>
      <c r="C90" s="60" t="s">
        <v>192</v>
      </c>
      <c r="D90" s="18">
        <v>3</v>
      </c>
      <c r="E90" s="18" t="s">
        <v>17</v>
      </c>
      <c r="F90" s="19">
        <v>44</v>
      </c>
      <c r="G90" s="11">
        <f t="shared" si="1"/>
        <v>132</v>
      </c>
      <c r="H90" s="12" t="s">
        <v>13</v>
      </c>
      <c r="I90" s="6" t="s">
        <v>14</v>
      </c>
      <c r="J90" s="41" t="str">
        <f>_xlfn.DISPIMG("ID_830C7F6068204A6E823E31A0BF3C4E42",1)</f>
        <v>=DISPIMG("ID_830C7F6068204A6E823E31A0BF3C4E42",1)</v>
      </c>
    </row>
    <row r="91" s="2" customFormat="1" ht="60" spans="1:10">
      <c r="A91" s="6">
        <v>90</v>
      </c>
      <c r="B91" s="26" t="s">
        <v>193</v>
      </c>
      <c r="C91" s="44" t="s">
        <v>194</v>
      </c>
      <c r="D91" s="28">
        <v>12</v>
      </c>
      <c r="E91" s="29" t="s">
        <v>17</v>
      </c>
      <c r="F91" s="30">
        <v>2</v>
      </c>
      <c r="G91" s="11">
        <f t="shared" si="1"/>
        <v>24</v>
      </c>
      <c r="H91" s="12" t="s">
        <v>13</v>
      </c>
      <c r="I91" s="6" t="s">
        <v>14</v>
      </c>
      <c r="J91" s="26" t="str">
        <f>_xlfn.DISPIMG("ID_ACCEE78923EE415BAE06F8EC25DE0CE7",1)</f>
        <v>=DISPIMG("ID_ACCEE78923EE415BAE06F8EC25DE0CE7",1)</v>
      </c>
    </row>
    <row r="92" s="2" customFormat="1" ht="49.35" spans="1:10">
      <c r="A92" s="6">
        <v>91</v>
      </c>
      <c r="B92" s="39" t="s">
        <v>195</v>
      </c>
      <c r="C92" s="41" t="s">
        <v>196</v>
      </c>
      <c r="D92" s="39">
        <v>1</v>
      </c>
      <c r="E92" s="39" t="s">
        <v>12</v>
      </c>
      <c r="F92" s="10">
        <v>313</v>
      </c>
      <c r="G92" s="11">
        <f t="shared" si="1"/>
        <v>313</v>
      </c>
      <c r="H92" s="12" t="s">
        <v>13</v>
      </c>
      <c r="I92" s="6" t="s">
        <v>14</v>
      </c>
      <c r="J92" s="54" t="str">
        <f>_xlfn.DISPIMG("ID_A9ABADADC8F249DB9D59F34781DA1B66",1)</f>
        <v>=DISPIMG("ID_A9ABADADC8F249DB9D59F34781DA1B66",1)</v>
      </c>
    </row>
    <row r="93" s="2" customFormat="1" ht="128.75" spans="1:10">
      <c r="A93" s="6">
        <v>92</v>
      </c>
      <c r="B93" s="17" t="s">
        <v>197</v>
      </c>
      <c r="C93" s="8" t="s">
        <v>198</v>
      </c>
      <c r="D93" s="9">
        <v>1</v>
      </c>
      <c r="E93" s="9" t="s">
        <v>12</v>
      </c>
      <c r="F93" s="10">
        <v>38</v>
      </c>
      <c r="G93" s="11">
        <f t="shared" si="1"/>
        <v>38</v>
      </c>
      <c r="H93" s="12" t="s">
        <v>13</v>
      </c>
      <c r="I93" s="6" t="s">
        <v>14</v>
      </c>
      <c r="J93" s="47" t="str">
        <f>_xlfn.DISPIMG("ID_D89EF052AF4B43778469DDD2518ED2E9",1)</f>
        <v>=DISPIMG("ID_D89EF052AF4B43778469DDD2518ED2E9",1)</v>
      </c>
    </row>
    <row r="94" s="2" customFormat="1" ht="57" spans="1:10">
      <c r="A94" s="6">
        <v>93</v>
      </c>
      <c r="B94" s="7" t="s">
        <v>199</v>
      </c>
      <c r="C94" s="8" t="s">
        <v>200</v>
      </c>
      <c r="D94" s="65">
        <v>1</v>
      </c>
      <c r="E94" s="65" t="s">
        <v>17</v>
      </c>
      <c r="F94" s="10">
        <v>9</v>
      </c>
      <c r="G94" s="11">
        <f t="shared" si="1"/>
        <v>9</v>
      </c>
      <c r="H94" s="12" t="s">
        <v>13</v>
      </c>
      <c r="I94" s="6" t="s">
        <v>14</v>
      </c>
      <c r="J94" s="47" t="str">
        <f>_xlfn.DISPIMG("ID_EE2A2E8159084AA2BC868D60A3A7E895",1)</f>
        <v>=DISPIMG("ID_EE2A2E8159084AA2BC868D60A3A7E895",1)</v>
      </c>
    </row>
    <row r="95" s="2" customFormat="1" ht="76.25" spans="1:10">
      <c r="A95" s="6">
        <v>94</v>
      </c>
      <c r="B95" s="7" t="s">
        <v>201</v>
      </c>
      <c r="C95" s="8" t="s">
        <v>202</v>
      </c>
      <c r="D95" s="18">
        <v>3</v>
      </c>
      <c r="E95" s="18" t="s">
        <v>67</v>
      </c>
      <c r="F95" s="19">
        <v>90</v>
      </c>
      <c r="G95" s="11">
        <f t="shared" si="1"/>
        <v>270</v>
      </c>
      <c r="H95" s="12" t="s">
        <v>13</v>
      </c>
      <c r="I95" s="6" t="s">
        <v>14</v>
      </c>
      <c r="J95" s="49" t="str">
        <f>_xlfn.DISPIMG("ID_261FF18BD8CF4A0D96AD9970263018C5",1)</f>
        <v>=DISPIMG("ID_261FF18BD8CF4A0D96AD9970263018C5",1)</v>
      </c>
    </row>
    <row r="96" s="2" customFormat="1" ht="105.4" spans="1:10">
      <c r="A96" s="6">
        <v>95</v>
      </c>
      <c r="B96" s="17" t="s">
        <v>203</v>
      </c>
      <c r="C96" s="8" t="s">
        <v>204</v>
      </c>
      <c r="D96" s="9">
        <v>1</v>
      </c>
      <c r="E96" s="9" t="s">
        <v>12</v>
      </c>
      <c r="F96" s="10">
        <v>8</v>
      </c>
      <c r="G96" s="11">
        <f t="shared" si="1"/>
        <v>8</v>
      </c>
      <c r="H96" s="12" t="s">
        <v>13</v>
      </c>
      <c r="I96" s="6" t="s">
        <v>14</v>
      </c>
      <c r="J96" s="47" t="str">
        <f>_xlfn.DISPIMG("ID_8D4EFB2F3E344F758CE6ADBC6775DDA0",1)</f>
        <v>=DISPIMG("ID_8D4EFB2F3E344F758CE6ADBC6775DDA0",1)</v>
      </c>
    </row>
    <row r="97" s="2" customFormat="1" ht="173.15" spans="1:10">
      <c r="A97" s="6">
        <v>96</v>
      </c>
      <c r="B97" s="7" t="s">
        <v>205</v>
      </c>
      <c r="C97" s="8" t="s">
        <v>206</v>
      </c>
      <c r="D97" s="9">
        <v>1</v>
      </c>
      <c r="E97" s="9" t="s">
        <v>12</v>
      </c>
      <c r="F97" s="10">
        <v>24</v>
      </c>
      <c r="G97" s="11">
        <f t="shared" si="1"/>
        <v>24</v>
      </c>
      <c r="H97" s="12" t="s">
        <v>13</v>
      </c>
      <c r="I97" s="6" t="s">
        <v>14</v>
      </c>
      <c r="J97" s="47" t="str">
        <f>_xlfn.DISPIMG("ID_B8434CE753D9402FB1D9B3AB78552238",1)</f>
        <v>=DISPIMG("ID_B8434CE753D9402FB1D9B3AB78552238",1)</v>
      </c>
    </row>
    <row r="98" s="2" customFormat="1" ht="67.7" spans="1:10">
      <c r="A98" s="6">
        <v>97</v>
      </c>
      <c r="B98" s="26" t="s">
        <v>207</v>
      </c>
      <c r="C98" s="44" t="s">
        <v>208</v>
      </c>
      <c r="D98" s="28">
        <v>2</v>
      </c>
      <c r="E98" s="29" t="s">
        <v>17</v>
      </c>
      <c r="F98" s="30">
        <v>11</v>
      </c>
      <c r="G98" s="11">
        <f t="shared" si="1"/>
        <v>22</v>
      </c>
      <c r="H98" s="12" t="s">
        <v>13</v>
      </c>
      <c r="I98" s="6" t="s">
        <v>14</v>
      </c>
      <c r="J98" s="26" t="str">
        <f>_xlfn.DISPIMG("ID_731EED30544B45A19F005F84C35B1598",1)</f>
        <v>=DISPIMG("ID_731EED30544B45A19F005F84C35B1598",1)</v>
      </c>
    </row>
    <row r="99" s="2" customFormat="1" ht="77.95" spans="1:10">
      <c r="A99" s="6">
        <v>98</v>
      </c>
      <c r="B99" s="64" t="s">
        <v>209</v>
      </c>
      <c r="C99" s="66" t="s">
        <v>210</v>
      </c>
      <c r="D99" s="18">
        <v>3</v>
      </c>
      <c r="E99" s="18" t="s">
        <v>17</v>
      </c>
      <c r="F99" s="19">
        <v>30</v>
      </c>
      <c r="G99" s="11">
        <f t="shared" si="1"/>
        <v>90</v>
      </c>
      <c r="H99" s="12" t="s">
        <v>13</v>
      </c>
      <c r="I99" s="6" t="s">
        <v>14</v>
      </c>
      <c r="J99" s="41" t="str">
        <f>_xlfn.DISPIMG("ID_58F5A672D62843828E72D765E4D65256",1)</f>
        <v>=DISPIMG("ID_58F5A672D62843828E72D765E4D65256",1)</v>
      </c>
    </row>
    <row r="100" s="2" customFormat="1" ht="84" spans="1:10">
      <c r="A100" s="6">
        <v>99</v>
      </c>
      <c r="B100" s="37" t="s">
        <v>211</v>
      </c>
      <c r="C100" s="37" t="s">
        <v>212</v>
      </c>
      <c r="D100" s="28">
        <v>2</v>
      </c>
      <c r="E100" s="29" t="s">
        <v>17</v>
      </c>
      <c r="F100" s="30">
        <v>19</v>
      </c>
      <c r="G100" s="11">
        <f t="shared" si="1"/>
        <v>38</v>
      </c>
      <c r="H100" s="12" t="s">
        <v>13</v>
      </c>
      <c r="I100" s="6" t="s">
        <v>14</v>
      </c>
      <c r="J100" s="26" t="str">
        <f>_xlfn.DISPIMG("ID_BA80323C144E41468D01D81A622FD554",1)</f>
        <v>=DISPIMG("ID_BA80323C144E41468D01D81A622FD554",1)</v>
      </c>
    </row>
    <row r="101" s="2" customFormat="1" ht="174.5" spans="1:10">
      <c r="A101" s="6">
        <v>100</v>
      </c>
      <c r="B101" s="7" t="s">
        <v>213</v>
      </c>
      <c r="C101" s="8" t="s">
        <v>214</v>
      </c>
      <c r="D101" s="65">
        <v>1</v>
      </c>
      <c r="E101" s="65" t="s">
        <v>67</v>
      </c>
      <c r="F101" s="10">
        <v>21</v>
      </c>
      <c r="G101" s="11">
        <f t="shared" si="1"/>
        <v>21</v>
      </c>
      <c r="H101" s="12" t="s">
        <v>13</v>
      </c>
      <c r="I101" s="6" t="s">
        <v>14</v>
      </c>
      <c r="J101" s="47" t="str">
        <f>_xlfn.DISPIMG("ID_ACA547C7D07841608A24A3C106497974",1)</f>
        <v>=DISPIMG("ID_ACA547C7D07841608A24A3C106497974",1)</v>
      </c>
    </row>
    <row r="102" s="2" customFormat="1" ht="69.15" spans="1:10">
      <c r="A102" s="6">
        <v>101</v>
      </c>
      <c r="B102" s="13" t="s">
        <v>215</v>
      </c>
      <c r="C102" s="14" t="s">
        <v>216</v>
      </c>
      <c r="D102" s="15">
        <v>3</v>
      </c>
      <c r="E102" s="15" t="s">
        <v>12</v>
      </c>
      <c r="F102" s="16">
        <v>49</v>
      </c>
      <c r="G102" s="11">
        <f t="shared" si="1"/>
        <v>147</v>
      </c>
      <c r="H102" s="12" t="s">
        <v>13</v>
      </c>
      <c r="I102" s="6" t="s">
        <v>14</v>
      </c>
      <c r="J102" s="48" t="str">
        <f>_xlfn.DISPIMG("ID_D66E7B0593A24C109F51463514346D4A",1)</f>
        <v>=DISPIMG("ID_D66E7B0593A24C109F51463514346D4A",1)</v>
      </c>
    </row>
    <row r="103" s="2" customFormat="1" ht="60.35" spans="1:10">
      <c r="A103" s="6">
        <v>102</v>
      </c>
      <c r="B103" s="7" t="s">
        <v>217</v>
      </c>
      <c r="C103" s="8" t="s">
        <v>218</v>
      </c>
      <c r="D103" s="18">
        <v>3</v>
      </c>
      <c r="E103" s="18" t="s">
        <v>12</v>
      </c>
      <c r="F103" s="19">
        <v>22</v>
      </c>
      <c r="G103" s="11">
        <f t="shared" si="1"/>
        <v>66</v>
      </c>
      <c r="H103" s="12" t="s">
        <v>13</v>
      </c>
      <c r="I103" s="6" t="s">
        <v>14</v>
      </c>
      <c r="J103" s="51" t="str">
        <f>_xlfn.DISPIMG("ID_C92FCD32B09741D6A951A9F59B7BE369",1)</f>
        <v>=DISPIMG("ID_C92FCD32B09741D6A951A9F59B7BE369",1)</v>
      </c>
    </row>
    <row r="104" s="2" customFormat="1" ht="116.7" spans="1:10">
      <c r="A104" s="6">
        <v>103</v>
      </c>
      <c r="B104" s="59" t="s">
        <v>219</v>
      </c>
      <c r="C104" s="38" t="s">
        <v>220</v>
      </c>
      <c r="D104" s="25">
        <v>5</v>
      </c>
      <c r="E104" s="25" t="s">
        <v>12</v>
      </c>
      <c r="F104" s="25">
        <v>98</v>
      </c>
      <c r="G104" s="11">
        <f t="shared" si="1"/>
        <v>490</v>
      </c>
      <c r="H104" s="12" t="s">
        <v>13</v>
      </c>
      <c r="I104" s="6" t="s">
        <v>14</v>
      </c>
      <c r="J104" s="50" t="str">
        <f>_xlfn.DISPIMG("ID_E0EB0A40ABD44CE99E818E556DC8D039",1)</f>
        <v>=DISPIMG("ID_E0EB0A40ABD44CE99E818E556DC8D039",1)</v>
      </c>
    </row>
    <row r="105" s="2" customFormat="1" ht="63.9" spans="1:10">
      <c r="A105" s="6">
        <v>104</v>
      </c>
      <c r="B105" s="17" t="s">
        <v>221</v>
      </c>
      <c r="C105" s="20" t="s">
        <v>222</v>
      </c>
      <c r="D105" s="10">
        <v>1</v>
      </c>
      <c r="E105" s="10" t="s">
        <v>17</v>
      </c>
      <c r="F105" s="10">
        <v>7</v>
      </c>
      <c r="G105" s="11">
        <f t="shared" si="1"/>
        <v>7</v>
      </c>
      <c r="H105" s="12" t="s">
        <v>13</v>
      </c>
      <c r="I105" s="6" t="s">
        <v>14</v>
      </c>
      <c r="J105" s="47" t="str">
        <f>_xlfn.DISPIMG("ID_53CAF385E23348E0B405E51B64303E14",1)</f>
        <v>=DISPIMG("ID_53CAF385E23348E0B405E51B64303E14",1)</v>
      </c>
    </row>
    <row r="106" s="2" customFormat="1" ht="86.45" spans="1:10">
      <c r="A106" s="6">
        <v>105</v>
      </c>
      <c r="B106" s="37" t="s">
        <v>223</v>
      </c>
      <c r="C106" s="38" t="s">
        <v>224</v>
      </c>
      <c r="D106" s="25">
        <v>15</v>
      </c>
      <c r="E106" s="25" t="s">
        <v>17</v>
      </c>
      <c r="F106" s="25">
        <v>6</v>
      </c>
      <c r="G106" s="11">
        <f t="shared" si="1"/>
        <v>90</v>
      </c>
      <c r="H106" s="12" t="s">
        <v>13</v>
      </c>
      <c r="I106" s="6" t="s">
        <v>14</v>
      </c>
      <c r="J106" s="50" t="str">
        <f>_xlfn.DISPIMG("ID_8E1993F621C14BD3B713197CB93D48CE",1)</f>
        <v>=DISPIMG("ID_8E1993F621C14BD3B713197CB93D48CE",1)</v>
      </c>
    </row>
    <row r="107" s="2" customFormat="1" ht="195.8" spans="1:10">
      <c r="A107" s="6">
        <v>106</v>
      </c>
      <c r="B107" s="37" t="s">
        <v>225</v>
      </c>
      <c r="C107" s="38" t="s">
        <v>226</v>
      </c>
      <c r="D107" s="25">
        <v>15</v>
      </c>
      <c r="E107" s="25" t="s">
        <v>12</v>
      </c>
      <c r="F107" s="25">
        <v>55</v>
      </c>
      <c r="G107" s="11">
        <f t="shared" si="1"/>
        <v>825</v>
      </c>
      <c r="H107" s="12" t="s">
        <v>13</v>
      </c>
      <c r="I107" s="6" t="s">
        <v>14</v>
      </c>
      <c r="J107" s="50" t="str">
        <f>_xlfn.DISPIMG("ID_C6791A1AF4334567A4D676A286380BC7",1)</f>
        <v>=DISPIMG("ID_C6791A1AF4334567A4D676A286380BC7",1)</v>
      </c>
    </row>
    <row r="108" s="2" customFormat="1" ht="72" spans="1:10">
      <c r="A108" s="6">
        <v>107</v>
      </c>
      <c r="B108" s="38" t="s">
        <v>227</v>
      </c>
      <c r="C108" s="38" t="s">
        <v>228</v>
      </c>
      <c r="D108" s="25">
        <v>5</v>
      </c>
      <c r="E108" s="25" t="s">
        <v>17</v>
      </c>
      <c r="F108" s="25">
        <v>36</v>
      </c>
      <c r="G108" s="11">
        <f t="shared" si="1"/>
        <v>180</v>
      </c>
      <c r="H108" s="12" t="s">
        <v>13</v>
      </c>
      <c r="I108" s="6" t="s">
        <v>14</v>
      </c>
      <c r="J108" s="50" t="str">
        <f>_xlfn.DISPIMG("ID_E0F064F7555346D595BF0B9A546AB3DC",1)</f>
        <v>=DISPIMG("ID_E0F064F7555346D595BF0B9A546AB3DC",1)</v>
      </c>
    </row>
    <row r="109" s="2" customFormat="1" ht="72" spans="1:10">
      <c r="A109" s="6">
        <v>108</v>
      </c>
      <c r="B109" s="37" t="s">
        <v>229</v>
      </c>
      <c r="C109" s="44" t="s">
        <v>230</v>
      </c>
      <c r="D109" s="28">
        <v>2</v>
      </c>
      <c r="E109" s="29" t="s">
        <v>17</v>
      </c>
      <c r="F109" s="30">
        <v>10</v>
      </c>
      <c r="G109" s="11">
        <f t="shared" si="1"/>
        <v>20</v>
      </c>
      <c r="H109" s="12" t="s">
        <v>13</v>
      </c>
      <c r="I109" s="6" t="s">
        <v>14</v>
      </c>
      <c r="J109" s="26" t="str">
        <f>_xlfn.DISPIMG("ID_306D531D187C4C58913C8B9CBB00B35D",1)</f>
        <v>=DISPIMG("ID_306D531D187C4C58913C8B9CBB00B35D",1)</v>
      </c>
    </row>
    <row r="110" s="2" customFormat="1" ht="69.35" spans="1:10">
      <c r="A110" s="6">
        <v>109</v>
      </c>
      <c r="B110" s="14" t="s">
        <v>231</v>
      </c>
      <c r="C110" s="14" t="s">
        <v>232</v>
      </c>
      <c r="D110" s="15">
        <v>48</v>
      </c>
      <c r="E110" s="15" t="s">
        <v>12</v>
      </c>
      <c r="F110" s="16">
        <v>12</v>
      </c>
      <c r="G110" s="11">
        <f t="shared" si="1"/>
        <v>576</v>
      </c>
      <c r="H110" s="12" t="s">
        <v>13</v>
      </c>
      <c r="I110" s="6" t="s">
        <v>14</v>
      </c>
      <c r="J110" s="69" t="str">
        <f>_xlfn.DISPIMG("ID_9CBDB8CBB3944F069A811E2D74DEE892",1)</f>
        <v>=DISPIMG("ID_9CBDB8CBB3944F069A811E2D74DEE892",1)</v>
      </c>
    </row>
    <row r="111" s="2" customFormat="1" ht="75.65" spans="1:10">
      <c r="A111" s="6">
        <v>110</v>
      </c>
      <c r="B111" s="14" t="s">
        <v>233</v>
      </c>
      <c r="C111" s="14" t="s">
        <v>234</v>
      </c>
      <c r="D111" s="15">
        <v>3</v>
      </c>
      <c r="E111" s="15" t="s">
        <v>12</v>
      </c>
      <c r="F111" s="16">
        <v>16</v>
      </c>
      <c r="G111" s="11">
        <f t="shared" si="1"/>
        <v>48</v>
      </c>
      <c r="H111" s="12" t="s">
        <v>13</v>
      </c>
      <c r="I111" s="6" t="s">
        <v>14</v>
      </c>
      <c r="J111" s="55" t="str">
        <f>_xlfn.DISPIMG("ID_41D6B63EA2F4481FBB52A5FB16A054C4",1)</f>
        <v>=DISPIMG("ID_41D6B63EA2F4481FBB52A5FB16A054C4",1)</v>
      </c>
    </row>
    <row r="112" s="2" customFormat="1" ht="59.85" spans="1:10">
      <c r="A112" s="6">
        <v>111</v>
      </c>
      <c r="B112" s="13" t="s">
        <v>235</v>
      </c>
      <c r="C112" s="14" t="s">
        <v>236</v>
      </c>
      <c r="D112" s="15">
        <v>3</v>
      </c>
      <c r="E112" s="15" t="s">
        <v>17</v>
      </c>
      <c r="F112" s="16">
        <v>21</v>
      </c>
      <c r="G112" s="11">
        <f t="shared" si="1"/>
        <v>63</v>
      </c>
      <c r="H112" s="12" t="s">
        <v>13</v>
      </c>
      <c r="I112" s="6" t="s">
        <v>14</v>
      </c>
      <c r="J112" s="48" t="str">
        <f>_xlfn.DISPIMG("ID_3145854196AD411F97F2CEFC9C8AB9AC",1)</f>
        <v>=DISPIMG("ID_3145854196AD411F97F2CEFC9C8AB9AC",1)</v>
      </c>
    </row>
    <row r="113" s="2" customFormat="1" ht="69.35" spans="1:10">
      <c r="A113" s="6">
        <v>112</v>
      </c>
      <c r="B113" s="7" t="s">
        <v>237</v>
      </c>
      <c r="C113" s="8" t="s">
        <v>238</v>
      </c>
      <c r="D113" s="7" t="s">
        <v>239</v>
      </c>
      <c r="E113" s="7" t="s">
        <v>17</v>
      </c>
      <c r="F113" s="10">
        <v>13</v>
      </c>
      <c r="G113" s="11">
        <f t="shared" si="1"/>
        <v>13</v>
      </c>
      <c r="H113" s="12" t="s">
        <v>13</v>
      </c>
      <c r="I113" s="6" t="s">
        <v>14</v>
      </c>
      <c r="J113" s="47" t="str">
        <f>_xlfn.DISPIMG("ID_AFACC61FFBFD4C29B3FF54C3541AA913",1)</f>
        <v>=DISPIMG("ID_AFACC61FFBFD4C29B3FF54C3541AA913",1)</v>
      </c>
    </row>
    <row r="114" s="2" customFormat="1" ht="97.85" spans="1:10">
      <c r="A114" s="6">
        <v>113</v>
      </c>
      <c r="B114" s="17" t="s">
        <v>240</v>
      </c>
      <c r="C114" s="8" t="s">
        <v>241</v>
      </c>
      <c r="D114" s="9">
        <v>1</v>
      </c>
      <c r="E114" s="9" t="s">
        <v>12</v>
      </c>
      <c r="F114" s="10">
        <v>25</v>
      </c>
      <c r="G114" s="11">
        <f t="shared" si="1"/>
        <v>25</v>
      </c>
      <c r="H114" s="12" t="s">
        <v>13</v>
      </c>
      <c r="I114" s="6" t="s">
        <v>14</v>
      </c>
      <c r="J114" s="54" t="str">
        <f>_xlfn.DISPIMG("ID_A6A29A878B7649AE8896446BA752BD46",1)</f>
        <v>=DISPIMG("ID_A6A29A878B7649AE8896446BA752BD46",1)</v>
      </c>
    </row>
    <row r="115" s="2" customFormat="1" ht="62.1" spans="1:10">
      <c r="A115" s="6">
        <v>114</v>
      </c>
      <c r="B115" s="7" t="s">
        <v>242</v>
      </c>
      <c r="C115" s="8" t="s">
        <v>243</v>
      </c>
      <c r="D115" s="18">
        <v>3</v>
      </c>
      <c r="E115" s="18" t="s">
        <v>12</v>
      </c>
      <c r="F115" s="19">
        <v>45</v>
      </c>
      <c r="G115" s="11">
        <f t="shared" si="1"/>
        <v>135</v>
      </c>
      <c r="H115" s="12" t="s">
        <v>13</v>
      </c>
      <c r="I115" s="6" t="s">
        <v>14</v>
      </c>
      <c r="J115" s="41" t="str">
        <f>_xlfn.DISPIMG("ID_76A4A69FC30246D8A47CAD9A54301AAD",1)</f>
        <v>=DISPIMG("ID_76A4A69FC30246D8A47CAD9A54301AAD",1)</v>
      </c>
    </row>
    <row r="116" s="2" customFormat="1" ht="81.5" spans="1:10">
      <c r="A116" s="6">
        <v>115</v>
      </c>
      <c r="B116" s="39" t="s">
        <v>244</v>
      </c>
      <c r="C116" s="41" t="s">
        <v>245</v>
      </c>
      <c r="D116" s="18">
        <v>3</v>
      </c>
      <c r="E116" s="18" t="s">
        <v>12</v>
      </c>
      <c r="F116" s="19">
        <v>21</v>
      </c>
      <c r="G116" s="11">
        <f t="shared" si="1"/>
        <v>63</v>
      </c>
      <c r="H116" s="12" t="s">
        <v>13</v>
      </c>
      <c r="I116" s="6" t="s">
        <v>14</v>
      </c>
      <c r="J116" s="52" t="str">
        <f>_xlfn.DISPIMG("ID_68C35498C8E8438ABDF93C6AEDF22887",1)</f>
        <v>=DISPIMG("ID_68C35498C8E8438ABDF93C6AEDF22887",1)</v>
      </c>
    </row>
    <row r="117" s="2" customFormat="1" ht="82.3" spans="1:10">
      <c r="A117" s="6">
        <v>116</v>
      </c>
      <c r="B117" s="39" t="s">
        <v>246</v>
      </c>
      <c r="C117" s="67" t="s">
        <v>247</v>
      </c>
      <c r="D117" s="18">
        <v>3</v>
      </c>
      <c r="E117" s="18" t="s">
        <v>12</v>
      </c>
      <c r="F117" s="19">
        <v>39</v>
      </c>
      <c r="G117" s="11">
        <f t="shared" si="1"/>
        <v>117</v>
      </c>
      <c r="H117" s="12" t="s">
        <v>13</v>
      </c>
      <c r="I117" s="6" t="s">
        <v>14</v>
      </c>
      <c r="J117" s="41" t="str">
        <f>_xlfn.DISPIMG("ID_18426898CA6C4E499C5067FCAA3F401D",1)</f>
        <v>=DISPIMG("ID_18426898CA6C4E499C5067FCAA3F401D",1)</v>
      </c>
    </row>
    <row r="118" s="2" customFormat="1" ht="118" spans="1:10">
      <c r="A118" s="6">
        <v>117</v>
      </c>
      <c r="B118" s="17" t="s">
        <v>248</v>
      </c>
      <c r="C118" s="20" t="s">
        <v>249</v>
      </c>
      <c r="D118" s="10">
        <v>1</v>
      </c>
      <c r="E118" s="10" t="s">
        <v>64</v>
      </c>
      <c r="F118" s="10">
        <v>30</v>
      </c>
      <c r="G118" s="11">
        <f t="shared" si="1"/>
        <v>30</v>
      </c>
      <c r="H118" s="12" t="s">
        <v>13</v>
      </c>
      <c r="I118" s="6" t="s">
        <v>14</v>
      </c>
      <c r="J118" s="47" t="str">
        <f>_xlfn.DISPIMG("ID_0158CDC5A2644225877E10966BE2A757",1)</f>
        <v>=DISPIMG("ID_0158CDC5A2644225877E10966BE2A757",1)</v>
      </c>
    </row>
    <row r="119" s="2" customFormat="1" ht="96" spans="1:10">
      <c r="A119" s="6">
        <v>118</v>
      </c>
      <c r="B119" s="37" t="s">
        <v>250</v>
      </c>
      <c r="C119" s="38" t="s">
        <v>251</v>
      </c>
      <c r="D119" s="25">
        <v>15</v>
      </c>
      <c r="E119" s="25" t="s">
        <v>17</v>
      </c>
      <c r="F119" s="25">
        <v>29</v>
      </c>
      <c r="G119" s="11">
        <f t="shared" si="1"/>
        <v>435</v>
      </c>
      <c r="H119" s="12" t="s">
        <v>13</v>
      </c>
      <c r="I119" s="6" t="s">
        <v>14</v>
      </c>
      <c r="J119" s="50" t="str">
        <f>_xlfn.DISPIMG("ID_5FDE5A32C0CA4496ABDF10EDFBDC6811",1)</f>
        <v>=DISPIMG("ID_5FDE5A32C0CA4496ABDF10EDFBDC6811",1)</v>
      </c>
    </row>
    <row r="120" s="2" customFormat="1" ht="55.6" spans="1:10">
      <c r="A120" s="6">
        <v>119</v>
      </c>
      <c r="B120" s="35" t="s">
        <v>252</v>
      </c>
      <c r="C120" s="36" t="s">
        <v>253</v>
      </c>
      <c r="D120" s="25">
        <v>30</v>
      </c>
      <c r="E120" s="6" t="s">
        <v>28</v>
      </c>
      <c r="F120" s="23">
        <v>93</v>
      </c>
      <c r="G120" s="11">
        <f t="shared" si="1"/>
        <v>2790</v>
      </c>
      <c r="H120" s="12" t="s">
        <v>13</v>
      </c>
      <c r="I120" s="6" t="s">
        <v>14</v>
      </c>
      <c r="J120" s="53" t="str">
        <f>_xlfn.DISPIMG("ID_9A64EC014FEB4D84B15AAB45559D1FB9",1)</f>
        <v>=DISPIMG("ID_9A64EC014FEB4D84B15AAB45559D1FB9",1)</v>
      </c>
    </row>
    <row r="121" s="2" customFormat="1" ht="132" spans="1:10">
      <c r="A121" s="6">
        <v>120</v>
      </c>
      <c r="B121" s="13" t="s">
        <v>254</v>
      </c>
      <c r="C121" s="42" t="s">
        <v>255</v>
      </c>
      <c r="D121" s="15">
        <v>12</v>
      </c>
      <c r="E121" s="15" t="s">
        <v>12</v>
      </c>
      <c r="F121" s="16">
        <v>80</v>
      </c>
      <c r="G121" s="11">
        <f t="shared" si="1"/>
        <v>960</v>
      </c>
      <c r="H121" s="12" t="s">
        <v>13</v>
      </c>
      <c r="I121" s="6" t="s">
        <v>14</v>
      </c>
      <c r="J121" s="48" t="str">
        <f>_xlfn.DISPIMG("ID_95A59CF29D0246298F87EDD326F65255",1)</f>
        <v>=DISPIMG("ID_95A59CF29D0246298F87EDD326F65255",1)</v>
      </c>
    </row>
    <row r="122" s="2" customFormat="1" ht="57" spans="1:10">
      <c r="A122" s="6">
        <v>121</v>
      </c>
      <c r="B122" s="7" t="s">
        <v>256</v>
      </c>
      <c r="C122" s="8" t="s">
        <v>257</v>
      </c>
      <c r="D122" s="18">
        <v>3</v>
      </c>
      <c r="E122" s="18" t="s">
        <v>17</v>
      </c>
      <c r="F122" s="19">
        <v>28</v>
      </c>
      <c r="G122" s="11">
        <f t="shared" si="1"/>
        <v>84</v>
      </c>
      <c r="H122" s="12" t="s">
        <v>13</v>
      </c>
      <c r="I122" s="6" t="s">
        <v>14</v>
      </c>
      <c r="J122" s="41" t="str">
        <f>_xlfn.DISPIMG("ID_52E5295039244B9985B995B973763EA9",1)</f>
        <v>=DISPIMG("ID_52E5295039244B9985B995B973763EA9",1)</v>
      </c>
    </row>
    <row r="123" s="2" customFormat="1" ht="96" spans="1:10">
      <c r="A123" s="6">
        <v>122</v>
      </c>
      <c r="B123" s="38" t="s">
        <v>258</v>
      </c>
      <c r="C123" s="38" t="s">
        <v>259</v>
      </c>
      <c r="D123" s="25">
        <v>15</v>
      </c>
      <c r="E123" s="25" t="s">
        <v>12</v>
      </c>
      <c r="F123" s="25">
        <v>73</v>
      </c>
      <c r="G123" s="11">
        <f t="shared" si="1"/>
        <v>1095</v>
      </c>
      <c r="H123" s="12" t="s">
        <v>13</v>
      </c>
      <c r="I123" s="6" t="s">
        <v>14</v>
      </c>
      <c r="J123" s="50" t="str">
        <f>_xlfn.DISPIMG("ID_A1DE6A65203A4D3DAD69714A66219317",1)</f>
        <v>=DISPIMG("ID_A1DE6A65203A4D3DAD69714A66219317",1)</v>
      </c>
    </row>
    <row r="124" s="2" customFormat="1" ht="60.65" spans="1:10">
      <c r="A124" s="6">
        <v>123</v>
      </c>
      <c r="B124" s="7" t="s">
        <v>260</v>
      </c>
      <c r="C124" s="8" t="s">
        <v>261</v>
      </c>
      <c r="D124" s="18">
        <v>3</v>
      </c>
      <c r="E124" s="18" t="s">
        <v>67</v>
      </c>
      <c r="F124" s="19">
        <v>17</v>
      </c>
      <c r="G124" s="11">
        <f t="shared" si="1"/>
        <v>51</v>
      </c>
      <c r="H124" s="12" t="s">
        <v>13</v>
      </c>
      <c r="I124" s="6" t="s">
        <v>14</v>
      </c>
      <c r="J124" s="49" t="str">
        <f>_xlfn.DISPIMG("ID_94B191134BB04DB5911B2847BA6FBC26",1)</f>
        <v>=DISPIMG("ID_94B191134BB04DB5911B2847BA6FBC26",1)</v>
      </c>
    </row>
    <row r="125" s="2" customFormat="1" ht="37.5" spans="1:10">
      <c r="A125" s="6">
        <v>124</v>
      </c>
      <c r="B125" s="13" t="s">
        <v>262</v>
      </c>
      <c r="C125" s="14" t="s">
        <v>263</v>
      </c>
      <c r="D125" s="15">
        <v>3</v>
      </c>
      <c r="E125" s="15" t="s">
        <v>12</v>
      </c>
      <c r="F125" s="16">
        <v>4</v>
      </c>
      <c r="G125" s="11">
        <f t="shared" si="1"/>
        <v>12</v>
      </c>
      <c r="H125" s="12" t="s">
        <v>13</v>
      </c>
      <c r="I125" s="6" t="s">
        <v>14</v>
      </c>
      <c r="J125" s="48" t="str">
        <f>_xlfn.DISPIMG("ID_2408A4EC878E459BB5B9E729F33B60F0",1)</f>
        <v>=DISPIMG("ID_2408A4EC878E459BB5B9E729F33B60F0",1)</v>
      </c>
    </row>
    <row r="126" s="2" customFormat="1" ht="71.85" spans="1:10">
      <c r="A126" s="6">
        <v>125</v>
      </c>
      <c r="B126" s="13" t="s">
        <v>264</v>
      </c>
      <c r="C126" s="14" t="s">
        <v>21</v>
      </c>
      <c r="D126" s="15">
        <v>3</v>
      </c>
      <c r="E126" s="15" t="s">
        <v>12</v>
      </c>
      <c r="F126" s="16">
        <v>21</v>
      </c>
      <c r="G126" s="11">
        <f t="shared" si="1"/>
        <v>63</v>
      </c>
      <c r="H126" s="12" t="s">
        <v>13</v>
      </c>
      <c r="I126" s="6" t="s">
        <v>14</v>
      </c>
      <c r="J126" s="48" t="str">
        <f>_xlfn.DISPIMG("ID_BB840098651C4795AEF4E6C70DFC8BB8",1)</f>
        <v>=DISPIMG("ID_BB840098651C4795AEF4E6C70DFC8BB8",1)</v>
      </c>
    </row>
    <row r="127" s="2" customFormat="1" ht="133.45" spans="1:10">
      <c r="A127" s="6">
        <v>126</v>
      </c>
      <c r="B127" s="7" t="s">
        <v>265</v>
      </c>
      <c r="C127" s="8" t="s">
        <v>266</v>
      </c>
      <c r="D127" s="18">
        <v>3</v>
      </c>
      <c r="E127" s="18" t="s">
        <v>12</v>
      </c>
      <c r="F127" s="19">
        <v>47</v>
      </c>
      <c r="G127" s="11">
        <f t="shared" si="1"/>
        <v>141</v>
      </c>
      <c r="H127" s="12" t="s">
        <v>13</v>
      </c>
      <c r="I127" s="6" t="s">
        <v>14</v>
      </c>
      <c r="J127" s="52" t="str">
        <f>_xlfn.DISPIMG("ID_F5E5A5D028324C0D958181B75048E43C",1)</f>
        <v>=DISPIMG("ID_F5E5A5D028324C0D958181B75048E43C",1)</v>
      </c>
    </row>
    <row r="128" s="2" customFormat="1" ht="48.05" spans="1:10">
      <c r="A128" s="6">
        <v>127</v>
      </c>
      <c r="B128" s="13" t="s">
        <v>267</v>
      </c>
      <c r="C128" s="14" t="s">
        <v>268</v>
      </c>
      <c r="D128" s="15">
        <v>3</v>
      </c>
      <c r="E128" s="15" t="s">
        <v>12</v>
      </c>
      <c r="F128" s="16">
        <v>5</v>
      </c>
      <c r="G128" s="11">
        <f t="shared" si="1"/>
        <v>15</v>
      </c>
      <c r="H128" s="12" t="s">
        <v>13</v>
      </c>
      <c r="I128" s="6" t="s">
        <v>14</v>
      </c>
      <c r="J128" s="70" t="str">
        <f>_xlfn.DISPIMG("ID_44807DB45B674CEF85ADE04646F68E12",1)</f>
        <v>=DISPIMG("ID_44807DB45B674CEF85ADE04646F68E12",1)</v>
      </c>
    </row>
    <row r="129" s="2" customFormat="1" ht="60" spans="1:10">
      <c r="A129" s="6">
        <v>128</v>
      </c>
      <c r="B129" s="14" t="s">
        <v>269</v>
      </c>
      <c r="C129" s="14" t="s">
        <v>270</v>
      </c>
      <c r="D129" s="15">
        <v>42</v>
      </c>
      <c r="E129" s="15" t="s">
        <v>17</v>
      </c>
      <c r="F129" s="16">
        <v>40</v>
      </c>
      <c r="G129" s="11">
        <f t="shared" si="1"/>
        <v>1680</v>
      </c>
      <c r="H129" s="12" t="s">
        <v>13</v>
      </c>
      <c r="I129" s="6" t="s">
        <v>14</v>
      </c>
      <c r="J129" s="55" t="str">
        <f>_xlfn.DISPIMG("ID_F58FBA76C44143D7992482B4CE986591",1)</f>
        <v>=DISPIMG("ID_F58FBA76C44143D7992482B4CE986591",1)</v>
      </c>
    </row>
    <row r="130" s="2" customFormat="1" ht="68.4" spans="1:10">
      <c r="A130" s="6">
        <v>129</v>
      </c>
      <c r="B130" s="37" t="s">
        <v>271</v>
      </c>
      <c r="C130" s="44" t="s">
        <v>272</v>
      </c>
      <c r="D130" s="28">
        <v>2</v>
      </c>
      <c r="E130" s="29" t="s">
        <v>12</v>
      </c>
      <c r="F130" s="30">
        <v>19</v>
      </c>
      <c r="G130" s="11">
        <f t="shared" ref="G130:G193" si="2">F130*D130</f>
        <v>38</v>
      </c>
      <c r="H130" s="12" t="s">
        <v>13</v>
      </c>
      <c r="I130" s="6" t="s">
        <v>14</v>
      </c>
      <c r="J130" s="26" t="str">
        <f>_xlfn.DISPIMG("ID_81191E3F35C24911A6BB1AB3C87573E7",1)</f>
        <v>=DISPIMG("ID_81191E3F35C24911A6BB1AB3C87573E7",1)</v>
      </c>
    </row>
    <row r="131" s="2" customFormat="1" ht="59.45" spans="1:10">
      <c r="A131" s="6">
        <v>130</v>
      </c>
      <c r="B131" s="39" t="s">
        <v>273</v>
      </c>
      <c r="C131" s="34" t="s">
        <v>274</v>
      </c>
      <c r="D131" s="18">
        <v>3</v>
      </c>
      <c r="E131" s="18" t="s">
        <v>12</v>
      </c>
      <c r="F131" s="19">
        <v>21</v>
      </c>
      <c r="G131" s="11">
        <f t="shared" si="2"/>
        <v>63</v>
      </c>
      <c r="H131" s="12" t="s">
        <v>13</v>
      </c>
      <c r="I131" s="6" t="s">
        <v>14</v>
      </c>
      <c r="J131" s="41" t="str">
        <f>_xlfn.DISPIMG("ID_0FAAA66F8C51451D88AE4E74A55CFDBE",1)</f>
        <v>=DISPIMG("ID_0FAAA66F8C51451D88AE4E74A55CFDBE",1)</v>
      </c>
    </row>
    <row r="132" s="2" customFormat="1" ht="74.1" spans="1:10">
      <c r="A132" s="6">
        <v>131</v>
      </c>
      <c r="B132" s="39" t="s">
        <v>275</v>
      </c>
      <c r="C132" s="58" t="s">
        <v>276</v>
      </c>
      <c r="D132" s="18">
        <v>3</v>
      </c>
      <c r="E132" s="18" t="s">
        <v>12</v>
      </c>
      <c r="F132" s="19">
        <v>21</v>
      </c>
      <c r="G132" s="11">
        <f t="shared" si="2"/>
        <v>63</v>
      </c>
      <c r="H132" s="12" t="s">
        <v>13</v>
      </c>
      <c r="I132" s="6" t="s">
        <v>14</v>
      </c>
      <c r="J132" s="41" t="str">
        <f>_xlfn.DISPIMG("ID_C3775847DDF6473195FB0B05E584E626",1)</f>
        <v>=DISPIMG("ID_C3775847DDF6473195FB0B05E584E626",1)</v>
      </c>
    </row>
    <row r="133" s="2" customFormat="1" ht="57" spans="1:10">
      <c r="A133" s="6">
        <v>132</v>
      </c>
      <c r="B133" s="7" t="s">
        <v>277</v>
      </c>
      <c r="C133" s="34" t="s">
        <v>278</v>
      </c>
      <c r="D133" s="18">
        <v>3</v>
      </c>
      <c r="E133" s="18" t="s">
        <v>17</v>
      </c>
      <c r="F133" s="19">
        <v>12</v>
      </c>
      <c r="G133" s="11">
        <f t="shared" si="2"/>
        <v>36</v>
      </c>
      <c r="H133" s="12" t="s">
        <v>13</v>
      </c>
      <c r="I133" s="6" t="s">
        <v>14</v>
      </c>
      <c r="J133" s="41" t="str">
        <f>_xlfn.DISPIMG("ID_BDDEE03C909B4FA1A61008EE36467ADD",1)</f>
        <v>=DISPIMG("ID_BDDEE03C909B4FA1A61008EE36467ADD",1)</v>
      </c>
    </row>
    <row r="134" s="2" customFormat="1" ht="60.65" spans="1:10">
      <c r="A134" s="6">
        <v>133</v>
      </c>
      <c r="B134" s="7" t="s">
        <v>279</v>
      </c>
      <c r="C134" s="8" t="s">
        <v>280</v>
      </c>
      <c r="D134" s="18">
        <v>3</v>
      </c>
      <c r="E134" s="18" t="s">
        <v>17</v>
      </c>
      <c r="F134" s="19">
        <v>22</v>
      </c>
      <c r="G134" s="11">
        <f t="shared" si="2"/>
        <v>66</v>
      </c>
      <c r="H134" s="12" t="s">
        <v>13</v>
      </c>
      <c r="I134" s="6" t="s">
        <v>14</v>
      </c>
      <c r="J134" s="41" t="str">
        <f>_xlfn.DISPIMG("ID_7110E2257C5B42FA991747ECE8AB95DC",1)</f>
        <v>=DISPIMG("ID_7110E2257C5B42FA991747ECE8AB95DC",1)</v>
      </c>
    </row>
    <row r="135" s="2" customFormat="1" ht="67.65" spans="1:10">
      <c r="A135" s="6">
        <v>134</v>
      </c>
      <c r="B135" s="37" t="s">
        <v>281</v>
      </c>
      <c r="C135" s="44" t="s">
        <v>282</v>
      </c>
      <c r="D135" s="28">
        <v>2</v>
      </c>
      <c r="E135" s="29" t="s">
        <v>17</v>
      </c>
      <c r="F135" s="30">
        <v>24</v>
      </c>
      <c r="G135" s="11">
        <f t="shared" si="2"/>
        <v>48</v>
      </c>
      <c r="H135" s="12" t="s">
        <v>13</v>
      </c>
      <c r="I135" s="6" t="s">
        <v>14</v>
      </c>
      <c r="J135" s="26" t="str">
        <f>_xlfn.DISPIMG("ID_CB766974E8774C3889AF017FE68B422B",1)</f>
        <v>=DISPIMG("ID_CB766974E8774C3889AF017FE68B422B",1)</v>
      </c>
    </row>
    <row r="136" s="2" customFormat="1" ht="43" spans="1:10">
      <c r="A136" s="6">
        <v>135</v>
      </c>
      <c r="B136" s="71" t="s">
        <v>283</v>
      </c>
      <c r="C136" s="36" t="s">
        <v>284</v>
      </c>
      <c r="D136" s="25">
        <v>48</v>
      </c>
      <c r="E136" s="6" t="s">
        <v>28</v>
      </c>
      <c r="F136" s="23">
        <v>84</v>
      </c>
      <c r="G136" s="11">
        <f t="shared" si="2"/>
        <v>4032</v>
      </c>
      <c r="H136" s="12" t="s">
        <v>13</v>
      </c>
      <c r="I136" s="6" t="s">
        <v>14</v>
      </c>
      <c r="J136" s="56" t="str">
        <f>_xlfn.DISPIMG("ID_21E4FCCE69DA46268F8C962F14CA41C4",1)</f>
        <v>=DISPIMG("ID_21E4FCCE69DA46268F8C962F14CA41C4",1)</v>
      </c>
    </row>
    <row r="137" s="2" customFormat="1" ht="309.35" spans="1:10">
      <c r="A137" s="6">
        <v>136</v>
      </c>
      <c r="B137" s="7" t="s">
        <v>163</v>
      </c>
      <c r="C137" s="34" t="s">
        <v>285</v>
      </c>
      <c r="D137" s="18">
        <v>3</v>
      </c>
      <c r="E137" s="18" t="s">
        <v>17</v>
      </c>
      <c r="F137" s="19">
        <v>21</v>
      </c>
      <c r="G137" s="11">
        <f t="shared" si="2"/>
        <v>63</v>
      </c>
      <c r="H137" s="12" t="s">
        <v>13</v>
      </c>
      <c r="I137" s="6" t="s">
        <v>14</v>
      </c>
      <c r="J137" s="52" t="str">
        <f>_xlfn.DISPIMG("ID_5CFD1D775B314E35AAFBBFD2C7404C35",1)</f>
        <v>=DISPIMG("ID_5CFD1D775B314E35AAFBBFD2C7404C35",1)</v>
      </c>
    </row>
    <row r="138" s="2" customFormat="1" ht="57" spans="1:10">
      <c r="A138" s="6">
        <v>137</v>
      </c>
      <c r="B138" s="7" t="s">
        <v>286</v>
      </c>
      <c r="C138" s="60" t="s">
        <v>287</v>
      </c>
      <c r="D138" s="18">
        <v>3</v>
      </c>
      <c r="E138" s="18" t="s">
        <v>12</v>
      </c>
      <c r="F138" s="19">
        <v>5</v>
      </c>
      <c r="G138" s="11">
        <f t="shared" si="2"/>
        <v>15</v>
      </c>
      <c r="H138" s="12" t="s">
        <v>13</v>
      </c>
      <c r="I138" s="6" t="s">
        <v>14</v>
      </c>
      <c r="J138" s="49" t="str">
        <f>_xlfn.DISPIMG("ID_CEBD545F05A640AC81A7B81315B1C750",1)</f>
        <v>=DISPIMG("ID_CEBD545F05A640AC81A7B81315B1C750",1)</v>
      </c>
    </row>
    <row r="139" s="2" customFormat="1" ht="110.9" spans="1:10">
      <c r="A139" s="6">
        <v>138</v>
      </c>
      <c r="B139" s="37" t="s">
        <v>288</v>
      </c>
      <c r="C139" s="38" t="s">
        <v>289</v>
      </c>
      <c r="D139" s="25">
        <v>15</v>
      </c>
      <c r="E139" s="25" t="s">
        <v>17</v>
      </c>
      <c r="F139" s="25">
        <v>13</v>
      </c>
      <c r="G139" s="11">
        <f t="shared" si="2"/>
        <v>195</v>
      </c>
      <c r="H139" s="12" t="s">
        <v>13</v>
      </c>
      <c r="I139" s="6" t="s">
        <v>14</v>
      </c>
      <c r="J139" s="50" t="str">
        <f>_xlfn.DISPIMG("ID_47A3CBCF6E0847419B94B8F8AE9E58D6",1)</f>
        <v>=DISPIMG("ID_47A3CBCF6E0847419B94B8F8AE9E58D6",1)</v>
      </c>
    </row>
    <row r="140" s="2" customFormat="1" ht="65.5" spans="1:10">
      <c r="A140" s="6">
        <v>139</v>
      </c>
      <c r="B140" s="39" t="s">
        <v>290</v>
      </c>
      <c r="C140" s="58" t="s">
        <v>291</v>
      </c>
      <c r="D140" s="18">
        <v>3</v>
      </c>
      <c r="E140" s="18" t="s">
        <v>12</v>
      </c>
      <c r="F140" s="19">
        <v>21</v>
      </c>
      <c r="G140" s="11">
        <f t="shared" si="2"/>
        <v>63</v>
      </c>
      <c r="H140" s="12" t="s">
        <v>13</v>
      </c>
      <c r="I140" s="6" t="s">
        <v>14</v>
      </c>
      <c r="J140" s="41" t="str">
        <f>_xlfn.DISPIMG("ID_098CC7BA42614544BD855043CA9CF5FD",1)</f>
        <v>=DISPIMG("ID_098CC7BA42614544BD855043CA9CF5FD",1)</v>
      </c>
    </row>
    <row r="141" s="2" customFormat="1" ht="42.75" spans="1:10">
      <c r="A141" s="6">
        <v>140</v>
      </c>
      <c r="B141" s="7" t="s">
        <v>292</v>
      </c>
      <c r="C141" s="8" t="s">
        <v>293</v>
      </c>
      <c r="D141" s="9">
        <v>1</v>
      </c>
      <c r="E141" s="9" t="s">
        <v>12</v>
      </c>
      <c r="F141" s="10">
        <v>17</v>
      </c>
      <c r="G141" s="11">
        <f t="shared" si="2"/>
        <v>17</v>
      </c>
      <c r="H141" s="12" t="s">
        <v>13</v>
      </c>
      <c r="I141" s="6" t="s">
        <v>14</v>
      </c>
      <c r="J141" s="47" t="str">
        <f>_xlfn.DISPIMG("ID_2971B35A6D1B40DA8223691AAC8C9590",1)</f>
        <v>=DISPIMG("ID_2971B35A6D1B40DA8223691AAC8C9590",1)</v>
      </c>
    </row>
    <row r="142" s="2" customFormat="1" ht="42.75" spans="1:10">
      <c r="A142" s="6">
        <v>141</v>
      </c>
      <c r="B142" s="7" t="s">
        <v>294</v>
      </c>
      <c r="C142" s="8" t="s">
        <v>295</v>
      </c>
      <c r="D142" s="18">
        <v>3</v>
      </c>
      <c r="E142" s="18" t="s">
        <v>12</v>
      </c>
      <c r="F142" s="19">
        <v>19</v>
      </c>
      <c r="G142" s="11">
        <f t="shared" si="2"/>
        <v>57</v>
      </c>
      <c r="H142" s="12" t="s">
        <v>13</v>
      </c>
      <c r="I142" s="6" t="s">
        <v>14</v>
      </c>
      <c r="J142" s="49" t="str">
        <f>_xlfn.DISPIMG("ID_869138F794FA435BB8C150768505F42E",1)</f>
        <v>=DISPIMG("ID_869138F794FA435BB8C150768505F42E",1)</v>
      </c>
    </row>
    <row r="143" s="2" customFormat="1" ht="67.65" spans="1:10">
      <c r="A143" s="6">
        <v>142</v>
      </c>
      <c r="B143" s="37" t="s">
        <v>296</v>
      </c>
      <c r="C143" s="44" t="s">
        <v>297</v>
      </c>
      <c r="D143" s="28">
        <v>2</v>
      </c>
      <c r="E143" s="29" t="s">
        <v>17</v>
      </c>
      <c r="F143" s="30">
        <v>24</v>
      </c>
      <c r="G143" s="11">
        <f t="shared" si="2"/>
        <v>48</v>
      </c>
      <c r="H143" s="12" t="s">
        <v>13</v>
      </c>
      <c r="I143" s="6" t="s">
        <v>14</v>
      </c>
      <c r="J143" s="26" t="str">
        <f>_xlfn.DISPIMG("ID_2967B82710934D0394214634CFC6D440",1)</f>
        <v>=DISPIMG("ID_2967B82710934D0394214634CFC6D440",1)</v>
      </c>
    </row>
    <row r="144" s="2" customFormat="1" ht="95.15" spans="1:10">
      <c r="A144" s="6">
        <v>143</v>
      </c>
      <c r="B144" s="7" t="s">
        <v>298</v>
      </c>
      <c r="C144" s="8" t="s">
        <v>214</v>
      </c>
      <c r="D144" s="65">
        <v>1</v>
      </c>
      <c r="E144" s="65" t="s">
        <v>67</v>
      </c>
      <c r="F144" s="10">
        <v>21</v>
      </c>
      <c r="G144" s="11">
        <f t="shared" si="2"/>
        <v>21</v>
      </c>
      <c r="H144" s="12" t="s">
        <v>13</v>
      </c>
      <c r="I144" s="6" t="s">
        <v>14</v>
      </c>
      <c r="J144" s="47" t="str">
        <f>_xlfn.DISPIMG("ID_6F55529EB6E24EDAB71FC96F58F54373",1)</f>
        <v>=DISPIMG("ID_6F55529EB6E24EDAB71FC96F58F54373",1)</v>
      </c>
    </row>
    <row r="145" s="2" customFormat="1" ht="42.75" spans="1:10">
      <c r="A145" s="6">
        <v>144</v>
      </c>
      <c r="B145" s="7" t="s">
        <v>299</v>
      </c>
      <c r="C145" s="8" t="s">
        <v>300</v>
      </c>
      <c r="D145" s="18">
        <v>6</v>
      </c>
      <c r="E145" s="18" t="s">
        <v>12</v>
      </c>
      <c r="F145" s="19">
        <v>2</v>
      </c>
      <c r="G145" s="11">
        <f t="shared" si="2"/>
        <v>12</v>
      </c>
      <c r="H145" s="12" t="s">
        <v>13</v>
      </c>
      <c r="I145" s="6" t="s">
        <v>14</v>
      </c>
      <c r="J145" s="41" t="str">
        <f>_xlfn.DISPIMG("ID_B86C2D8BC29E43FBB3188BB67526739F",1)</f>
        <v>=DISPIMG("ID_B86C2D8BC29E43FBB3188BB67526739F",1)</v>
      </c>
    </row>
    <row r="146" s="2" customFormat="1" ht="121.35" spans="1:10">
      <c r="A146" s="6">
        <v>145</v>
      </c>
      <c r="B146" s="61" t="s">
        <v>301</v>
      </c>
      <c r="C146" s="62" t="s">
        <v>302</v>
      </c>
      <c r="D146" s="61">
        <v>3</v>
      </c>
      <c r="E146" s="6" t="s">
        <v>64</v>
      </c>
      <c r="F146" s="23">
        <v>40</v>
      </c>
      <c r="G146" s="11">
        <f t="shared" si="2"/>
        <v>120</v>
      </c>
      <c r="H146" s="12" t="s">
        <v>13</v>
      </c>
      <c r="I146" s="6" t="s">
        <v>14</v>
      </c>
      <c r="J146" s="68" t="str">
        <f>_xlfn.DISPIMG("ID_A56DF7E6A8634D2DB0797F0B7749F5D7",1)</f>
        <v>=DISPIMG("ID_A56DF7E6A8634D2DB0797F0B7749F5D7",1)</v>
      </c>
    </row>
    <row r="147" s="2" customFormat="1" ht="112" spans="1:10">
      <c r="A147" s="6">
        <v>146</v>
      </c>
      <c r="B147" s="7" t="s">
        <v>303</v>
      </c>
      <c r="C147" s="8" t="s">
        <v>304</v>
      </c>
      <c r="D147" s="18">
        <v>3</v>
      </c>
      <c r="E147" s="18" t="s">
        <v>12</v>
      </c>
      <c r="F147" s="19">
        <v>22</v>
      </c>
      <c r="G147" s="11">
        <f t="shared" si="2"/>
        <v>66</v>
      </c>
      <c r="H147" s="12" t="s">
        <v>13</v>
      </c>
      <c r="I147" s="6" t="s">
        <v>14</v>
      </c>
      <c r="J147" s="51" t="str">
        <f>_xlfn.DISPIMG("ID_27684379976B46A39E4E58883FEB1DD6",1)</f>
        <v>=DISPIMG("ID_27684379976B46A39E4E58883FEB1DD6",1)</v>
      </c>
    </row>
    <row r="148" s="2" customFormat="1" ht="74.55" spans="1:10">
      <c r="A148" s="6">
        <v>147</v>
      </c>
      <c r="B148" s="7" t="s">
        <v>305</v>
      </c>
      <c r="C148" s="8" t="s">
        <v>306</v>
      </c>
      <c r="D148" s="39">
        <v>1</v>
      </c>
      <c r="E148" s="39" t="s">
        <v>17</v>
      </c>
      <c r="F148" s="10">
        <v>30</v>
      </c>
      <c r="G148" s="11">
        <f t="shared" si="2"/>
        <v>30</v>
      </c>
      <c r="H148" s="12" t="s">
        <v>13</v>
      </c>
      <c r="I148" s="6" t="s">
        <v>14</v>
      </c>
      <c r="J148" s="47" t="str">
        <f>_xlfn.DISPIMG("ID_B4A458D5EF3844FDAACEBC2B222D932B",1)</f>
        <v>=DISPIMG("ID_B4A458D5EF3844FDAACEBC2B222D932B",1)</v>
      </c>
    </row>
    <row r="149" s="2" customFormat="1" ht="41.35" spans="1:10">
      <c r="A149" s="6">
        <v>148</v>
      </c>
      <c r="B149" s="21" t="s">
        <v>307</v>
      </c>
      <c r="C149" s="21" t="s">
        <v>308</v>
      </c>
      <c r="D149" s="22">
        <v>72</v>
      </c>
      <c r="E149" s="6" t="s">
        <v>28</v>
      </c>
      <c r="F149" s="23">
        <v>93</v>
      </c>
      <c r="G149" s="11">
        <f t="shared" si="2"/>
        <v>6696</v>
      </c>
      <c r="H149" s="12" t="s">
        <v>13</v>
      </c>
      <c r="I149" s="6" t="s">
        <v>14</v>
      </c>
      <c r="J149" s="21" t="str">
        <f>_xlfn.DISPIMG("ID_698D012E89D34B1B9B4F688B998BA737",1)</f>
        <v>=DISPIMG("ID_698D012E89D34B1B9B4F688B998BA737",1)</v>
      </c>
    </row>
    <row r="150" s="2" customFormat="1" ht="112.75" spans="1:10">
      <c r="A150" s="6">
        <v>149</v>
      </c>
      <c r="B150" s="7" t="s">
        <v>309</v>
      </c>
      <c r="C150" s="8" t="s">
        <v>310</v>
      </c>
      <c r="D150" s="39">
        <v>1</v>
      </c>
      <c r="E150" s="39" t="s">
        <v>17</v>
      </c>
      <c r="F150" s="10">
        <v>34</v>
      </c>
      <c r="G150" s="11">
        <f t="shared" si="2"/>
        <v>34</v>
      </c>
      <c r="H150" s="12" t="s">
        <v>13</v>
      </c>
      <c r="I150" s="6" t="s">
        <v>14</v>
      </c>
      <c r="J150" s="47" t="str">
        <f>_xlfn.DISPIMG("ID_EA44B1F917FD4F8291F26D04D87AECA7",1)</f>
        <v>=DISPIMG("ID_EA44B1F917FD4F8291F26D04D87AECA7",1)</v>
      </c>
    </row>
    <row r="151" s="2" customFormat="1" ht="152.95" spans="1:10">
      <c r="A151" s="6">
        <v>150</v>
      </c>
      <c r="B151" s="7" t="s">
        <v>311</v>
      </c>
      <c r="C151" s="45" t="s">
        <v>312</v>
      </c>
      <c r="D151" s="9">
        <v>1</v>
      </c>
      <c r="E151" s="9" t="s">
        <v>12</v>
      </c>
      <c r="F151" s="10">
        <v>200</v>
      </c>
      <c r="G151" s="11">
        <f t="shared" si="2"/>
        <v>200</v>
      </c>
      <c r="H151" s="12" t="s">
        <v>13</v>
      </c>
      <c r="I151" s="6" t="s">
        <v>14</v>
      </c>
      <c r="J151" s="47" t="str">
        <f>_xlfn.DISPIMG("ID_813AA2A514E244C09202B7820BA635CE",1)</f>
        <v>=DISPIMG("ID_813AA2A514E244C09202B7820BA635CE",1)</v>
      </c>
    </row>
    <row r="152" s="2" customFormat="1" ht="67.15" spans="1:10">
      <c r="A152" s="6">
        <v>151</v>
      </c>
      <c r="B152" s="7" t="s">
        <v>313</v>
      </c>
      <c r="C152" s="60" t="s">
        <v>314</v>
      </c>
      <c r="D152" s="18">
        <v>3</v>
      </c>
      <c r="E152" s="18" t="s">
        <v>17</v>
      </c>
      <c r="F152" s="19">
        <v>13</v>
      </c>
      <c r="G152" s="11">
        <f t="shared" si="2"/>
        <v>39</v>
      </c>
      <c r="H152" s="12" t="s">
        <v>13</v>
      </c>
      <c r="I152" s="6" t="s">
        <v>14</v>
      </c>
      <c r="J152" s="76" t="str">
        <f>_xlfn.DISPIMG("ID_42380C0CA91B4EE6BF0FDCE00AFB72F6",1)</f>
        <v>=DISPIMG("ID_42380C0CA91B4EE6BF0FDCE00AFB72F6",1)</v>
      </c>
    </row>
    <row r="153" s="2" customFormat="1" ht="51.85" spans="1:10">
      <c r="A153" s="6">
        <v>152</v>
      </c>
      <c r="B153" s="13" t="s">
        <v>315</v>
      </c>
      <c r="C153" s="14" t="s">
        <v>316</v>
      </c>
      <c r="D153" s="15">
        <v>3</v>
      </c>
      <c r="E153" s="15" t="s">
        <v>17</v>
      </c>
      <c r="F153" s="16">
        <v>5</v>
      </c>
      <c r="G153" s="11">
        <f t="shared" si="2"/>
        <v>15</v>
      </c>
      <c r="H153" s="12" t="s">
        <v>13</v>
      </c>
      <c r="I153" s="6" t="s">
        <v>14</v>
      </c>
      <c r="J153" s="70" t="str">
        <f>_xlfn.DISPIMG("ID_C3B444D7FA8946E08130F11454EF406F",1)</f>
        <v>=DISPIMG("ID_C3B444D7FA8946E08130F11454EF406F",1)</v>
      </c>
    </row>
    <row r="154" s="2" customFormat="1" ht="148.35" spans="1:10">
      <c r="A154" s="6">
        <v>153</v>
      </c>
      <c r="B154" s="39" t="s">
        <v>317</v>
      </c>
      <c r="C154" s="41" t="s">
        <v>318</v>
      </c>
      <c r="D154" s="18">
        <v>3</v>
      </c>
      <c r="E154" s="18" t="s">
        <v>12</v>
      </c>
      <c r="F154" s="19">
        <v>21</v>
      </c>
      <c r="G154" s="11">
        <f t="shared" si="2"/>
        <v>63</v>
      </c>
      <c r="H154" s="12" t="s">
        <v>13</v>
      </c>
      <c r="I154" s="6" t="s">
        <v>14</v>
      </c>
      <c r="J154" s="52" t="str">
        <f>_xlfn.DISPIMG("ID_78D31ED74D1C4F9998C8AD45AB3099E9",1)</f>
        <v>=DISPIMG("ID_78D31ED74D1C4F9998C8AD45AB3099E9",1)</v>
      </c>
    </row>
    <row r="155" s="2" customFormat="1" ht="67.55" spans="1:10">
      <c r="A155" s="6">
        <v>154</v>
      </c>
      <c r="B155" s="39" t="s">
        <v>319</v>
      </c>
      <c r="C155" s="41" t="s">
        <v>320</v>
      </c>
      <c r="D155" s="18">
        <v>3</v>
      </c>
      <c r="E155" s="18" t="s">
        <v>12</v>
      </c>
      <c r="F155" s="19">
        <v>27</v>
      </c>
      <c r="G155" s="11">
        <f t="shared" si="2"/>
        <v>81</v>
      </c>
      <c r="H155" s="12" t="s">
        <v>13</v>
      </c>
      <c r="I155" s="6" t="s">
        <v>14</v>
      </c>
      <c r="J155" s="41" t="str">
        <f>_xlfn.DISPIMG("ID_91DAF84928814B2B8D015FAC92EEAA0E",1)</f>
        <v>=DISPIMG("ID_91DAF84928814B2B8D015FAC92EEAA0E",1)</v>
      </c>
    </row>
    <row r="156" s="2" customFormat="1" ht="63.5" spans="1:10">
      <c r="A156" s="6">
        <v>155</v>
      </c>
      <c r="B156" s="39" t="s">
        <v>321</v>
      </c>
      <c r="C156" s="34" t="s">
        <v>322</v>
      </c>
      <c r="D156" s="18">
        <v>3</v>
      </c>
      <c r="E156" s="18" t="s">
        <v>67</v>
      </c>
      <c r="F156" s="19">
        <v>29</v>
      </c>
      <c r="G156" s="11">
        <f t="shared" si="2"/>
        <v>87</v>
      </c>
      <c r="H156" s="12" t="s">
        <v>13</v>
      </c>
      <c r="I156" s="6" t="s">
        <v>14</v>
      </c>
      <c r="J156" s="41" t="str">
        <f>_xlfn.DISPIMG("ID_5789BFDEB9A7468FB3040DFF202E98D7",1)</f>
        <v>=DISPIMG("ID_5789BFDEB9A7468FB3040DFF202E98D7",1)</v>
      </c>
    </row>
    <row r="157" s="2" customFormat="1" ht="353.35" spans="1:10">
      <c r="A157" s="6">
        <v>156</v>
      </c>
      <c r="B157" s="7" t="s">
        <v>323</v>
      </c>
      <c r="C157" s="60" t="s">
        <v>324</v>
      </c>
      <c r="D157" s="18">
        <v>3</v>
      </c>
      <c r="E157" s="18" t="s">
        <v>12</v>
      </c>
      <c r="F157" s="19">
        <v>79</v>
      </c>
      <c r="G157" s="11">
        <f t="shared" si="2"/>
        <v>237</v>
      </c>
      <c r="H157" s="12" t="s">
        <v>13</v>
      </c>
      <c r="I157" s="6" t="s">
        <v>14</v>
      </c>
      <c r="J157" s="76" t="str">
        <f>_xlfn.DISPIMG("ID_B1D38E158F894079B40C71C40446978B",1)</f>
        <v>=DISPIMG("ID_B1D38E158F894079B40C71C40446978B",1)</v>
      </c>
    </row>
    <row r="158" s="2" customFormat="1" ht="60" spans="1:10">
      <c r="A158" s="6">
        <v>157</v>
      </c>
      <c r="B158" s="13" t="s">
        <v>325</v>
      </c>
      <c r="C158" s="14" t="s">
        <v>326</v>
      </c>
      <c r="D158" s="25">
        <v>3</v>
      </c>
      <c r="E158" s="25" t="s">
        <v>17</v>
      </c>
      <c r="F158" s="43">
        <v>34</v>
      </c>
      <c r="G158" s="11">
        <f t="shared" si="2"/>
        <v>102</v>
      </c>
      <c r="H158" s="12" t="s">
        <v>13</v>
      </c>
      <c r="I158" s="6" t="s">
        <v>14</v>
      </c>
      <c r="J158" s="57" t="str">
        <f>_xlfn.DISPIMG("ID_3F7A7942FCC54FD7B907A38597AEA910",1)</f>
        <v>=DISPIMG("ID_3F7A7942FCC54FD7B907A38597AEA910",1)</v>
      </c>
    </row>
    <row r="159" s="2" customFormat="1" ht="68" spans="1:10">
      <c r="A159" s="6">
        <v>158</v>
      </c>
      <c r="B159" s="39" t="s">
        <v>327</v>
      </c>
      <c r="C159" s="41" t="s">
        <v>328</v>
      </c>
      <c r="D159" s="18">
        <v>3</v>
      </c>
      <c r="E159" s="18" t="s">
        <v>12</v>
      </c>
      <c r="F159" s="19">
        <v>21</v>
      </c>
      <c r="G159" s="11">
        <f t="shared" si="2"/>
        <v>63</v>
      </c>
      <c r="H159" s="12" t="s">
        <v>13</v>
      </c>
      <c r="I159" s="6" t="s">
        <v>14</v>
      </c>
      <c r="J159" s="52" t="str">
        <f>_xlfn.DISPIMG("ID_BECA7F8313C4401AB703CB63ED194F01",1)</f>
        <v>=DISPIMG("ID_BECA7F8313C4401AB703CB63ED194F01",1)</v>
      </c>
    </row>
    <row r="160" s="2" customFormat="1" ht="72" spans="1:10">
      <c r="A160" s="6">
        <v>159</v>
      </c>
      <c r="B160" s="37" t="s">
        <v>329</v>
      </c>
      <c r="C160" s="44" t="s">
        <v>330</v>
      </c>
      <c r="D160" s="28">
        <v>2</v>
      </c>
      <c r="E160" s="29" t="s">
        <v>17</v>
      </c>
      <c r="F160" s="30">
        <v>10</v>
      </c>
      <c r="G160" s="11">
        <f t="shared" si="2"/>
        <v>20</v>
      </c>
      <c r="H160" s="12" t="s">
        <v>13</v>
      </c>
      <c r="I160" s="6" t="s">
        <v>14</v>
      </c>
      <c r="J160" s="26" t="str">
        <f>_xlfn.DISPIMG("ID_5413D70D2231457CBA0957237E2184EC",1)</f>
        <v>=DISPIMG("ID_5413D70D2231457CBA0957237E2184EC",1)</v>
      </c>
    </row>
    <row r="161" s="2" customFormat="1" ht="80.95" spans="1:10">
      <c r="A161" s="6">
        <v>160</v>
      </c>
      <c r="B161" s="37" t="s">
        <v>193</v>
      </c>
      <c r="C161" s="44" t="s">
        <v>331</v>
      </c>
      <c r="D161" s="28">
        <v>6</v>
      </c>
      <c r="E161" s="29" t="s">
        <v>12</v>
      </c>
      <c r="F161" s="30">
        <v>11</v>
      </c>
      <c r="G161" s="11">
        <f t="shared" si="2"/>
        <v>66</v>
      </c>
      <c r="H161" s="12" t="s">
        <v>13</v>
      </c>
      <c r="I161" s="6" t="s">
        <v>14</v>
      </c>
      <c r="J161" s="26" t="str">
        <f>_xlfn.DISPIMG("ID_784478E30B554600A9DB09F96DBF14B7",1)</f>
        <v>=DISPIMG("ID_784478E30B554600A9DB09F96DBF14B7",1)</v>
      </c>
    </row>
    <row r="162" s="2" customFormat="1" ht="72" spans="1:10">
      <c r="A162" s="6">
        <v>161</v>
      </c>
      <c r="B162" s="13" t="s">
        <v>332</v>
      </c>
      <c r="C162" s="14" t="s">
        <v>333</v>
      </c>
      <c r="D162" s="15">
        <v>3</v>
      </c>
      <c r="E162" s="15" t="s">
        <v>12</v>
      </c>
      <c r="F162" s="16">
        <v>151</v>
      </c>
      <c r="G162" s="11">
        <f t="shared" si="2"/>
        <v>453</v>
      </c>
      <c r="H162" s="12" t="s">
        <v>13</v>
      </c>
      <c r="I162" s="6" t="s">
        <v>14</v>
      </c>
      <c r="J162" s="48" t="str">
        <f>_xlfn.DISPIMG("ID_CD686692F11E4937A716A88B6EAE2076",1)</f>
        <v>=DISPIMG("ID_CD686692F11E4937A716A88B6EAE2076",1)</v>
      </c>
    </row>
    <row r="163" s="2" customFormat="1" ht="56.4" spans="1:10">
      <c r="A163" s="6">
        <v>162</v>
      </c>
      <c r="B163" s="13" t="s">
        <v>334</v>
      </c>
      <c r="C163" s="14" t="s">
        <v>335</v>
      </c>
      <c r="D163" s="15">
        <v>3</v>
      </c>
      <c r="E163" s="15" t="s">
        <v>12</v>
      </c>
      <c r="F163" s="16">
        <v>66</v>
      </c>
      <c r="G163" s="11">
        <f t="shared" si="2"/>
        <v>198</v>
      </c>
      <c r="H163" s="12" t="s">
        <v>13</v>
      </c>
      <c r="I163" s="6" t="s">
        <v>14</v>
      </c>
      <c r="J163" s="48" t="str">
        <f>_xlfn.DISPIMG("ID_498094259AD14DBE810167A9E65D66C6",1)</f>
        <v>=DISPIMG("ID_498094259AD14DBE810167A9E65D66C6",1)</v>
      </c>
    </row>
    <row r="164" s="2" customFormat="1" ht="60.95" spans="1:10">
      <c r="A164" s="6">
        <v>163</v>
      </c>
      <c r="B164" s="13" t="s">
        <v>336</v>
      </c>
      <c r="C164" s="14" t="s">
        <v>337</v>
      </c>
      <c r="D164" s="15">
        <v>3</v>
      </c>
      <c r="E164" s="15" t="s">
        <v>67</v>
      </c>
      <c r="F164" s="16">
        <v>21</v>
      </c>
      <c r="G164" s="11">
        <f t="shared" si="2"/>
        <v>63</v>
      </c>
      <c r="H164" s="12" t="s">
        <v>13</v>
      </c>
      <c r="I164" s="6" t="s">
        <v>14</v>
      </c>
      <c r="J164" s="48" t="str">
        <f>_xlfn.DISPIMG("ID_6D8C9DE30D204424BC31A98565DB9640",1)</f>
        <v>=DISPIMG("ID_6D8C9DE30D204424BC31A98565DB9640",1)</v>
      </c>
    </row>
    <row r="165" s="2" customFormat="1" ht="58.5" spans="1:10">
      <c r="A165" s="6">
        <v>164</v>
      </c>
      <c r="B165" s="17" t="s">
        <v>338</v>
      </c>
      <c r="C165" s="41" t="s">
        <v>339</v>
      </c>
      <c r="D165" s="18">
        <v>3</v>
      </c>
      <c r="E165" s="18" t="s">
        <v>12</v>
      </c>
      <c r="F165" s="19">
        <v>19</v>
      </c>
      <c r="G165" s="11">
        <f t="shared" si="2"/>
        <v>57</v>
      </c>
      <c r="H165" s="12" t="s">
        <v>13</v>
      </c>
      <c r="I165" s="6" t="s">
        <v>14</v>
      </c>
      <c r="J165" s="49" t="str">
        <f>_xlfn.DISPIMG("ID_07F4A2AED12F45CC80DC845B0535A119",1)</f>
        <v>=DISPIMG("ID_07F4A2AED12F45CC80DC845B0535A119",1)</v>
      </c>
    </row>
    <row r="166" s="2" customFormat="1" ht="64.65" spans="1:10">
      <c r="A166" s="6">
        <v>165</v>
      </c>
      <c r="B166" s="37" t="s">
        <v>340</v>
      </c>
      <c r="C166" s="44" t="s">
        <v>341</v>
      </c>
      <c r="D166" s="28">
        <v>2</v>
      </c>
      <c r="E166" s="29" t="s">
        <v>12</v>
      </c>
      <c r="F166" s="30">
        <v>24</v>
      </c>
      <c r="G166" s="11">
        <f t="shared" si="2"/>
        <v>48</v>
      </c>
      <c r="H166" s="12" t="s">
        <v>13</v>
      </c>
      <c r="I166" s="6" t="s">
        <v>14</v>
      </c>
      <c r="J166" s="26" t="str">
        <f>_xlfn.DISPIMG("ID_166250F8CDE141F1A9CA04A6D39A40C0",1)</f>
        <v>=DISPIMG("ID_166250F8CDE141F1A9CA04A6D39A40C0",1)</v>
      </c>
    </row>
    <row r="167" s="2" customFormat="1" ht="49.35" spans="1:10">
      <c r="A167" s="6">
        <v>166</v>
      </c>
      <c r="B167" s="7" t="s">
        <v>342</v>
      </c>
      <c r="C167" s="41" t="s">
        <v>343</v>
      </c>
      <c r="D167" s="39">
        <v>1</v>
      </c>
      <c r="E167" s="39" t="s">
        <v>12</v>
      </c>
      <c r="F167" s="10">
        <v>20</v>
      </c>
      <c r="G167" s="11">
        <f t="shared" si="2"/>
        <v>20</v>
      </c>
      <c r="H167" s="12" t="s">
        <v>13</v>
      </c>
      <c r="I167" s="6" t="s">
        <v>14</v>
      </c>
      <c r="J167" s="54" t="str">
        <f>_xlfn.DISPIMG("ID_52CC2B27574344C2A7544B7B5878E741",1)</f>
        <v>=DISPIMG("ID_52CC2B27574344C2A7544B7B5878E741",1)</v>
      </c>
    </row>
    <row r="168" s="2" customFormat="1" ht="70.4" spans="1:10">
      <c r="A168" s="6">
        <v>167</v>
      </c>
      <c r="B168" s="39" t="s">
        <v>344</v>
      </c>
      <c r="C168" s="34" t="s">
        <v>345</v>
      </c>
      <c r="D168" s="18">
        <v>3</v>
      </c>
      <c r="E168" s="18" t="s">
        <v>12</v>
      </c>
      <c r="F168" s="19">
        <v>21</v>
      </c>
      <c r="G168" s="11">
        <f t="shared" si="2"/>
        <v>63</v>
      </c>
      <c r="H168" s="12" t="s">
        <v>13</v>
      </c>
      <c r="I168" s="6" t="s">
        <v>14</v>
      </c>
      <c r="J168" s="41" t="str">
        <f>_xlfn.DISPIMG("ID_356A3406B4574C3A95FAA70F3F672EC1",1)</f>
        <v>=DISPIMG("ID_356A3406B4574C3A95FAA70F3F672EC1",1)</v>
      </c>
    </row>
    <row r="169" s="2" customFormat="1" ht="49.05" spans="1:10">
      <c r="A169" s="6">
        <v>168</v>
      </c>
      <c r="B169" s="72" t="s">
        <v>346</v>
      </c>
      <c r="C169" s="58" t="s">
        <v>347</v>
      </c>
      <c r="D169" s="18">
        <v>3</v>
      </c>
      <c r="E169" s="18" t="s">
        <v>12</v>
      </c>
      <c r="F169" s="19">
        <v>4</v>
      </c>
      <c r="G169" s="11">
        <f t="shared" si="2"/>
        <v>12</v>
      </c>
      <c r="H169" s="12" t="s">
        <v>13</v>
      </c>
      <c r="I169" s="6" t="s">
        <v>14</v>
      </c>
      <c r="J169" s="41" t="str">
        <f>_xlfn.DISPIMG("ID_DA90701D0DDE4972A3845253D83A52E6",1)</f>
        <v>=DISPIMG("ID_DA90701D0DDE4972A3845253D83A52E6",1)</v>
      </c>
    </row>
    <row r="170" s="2" customFormat="1" ht="60" spans="1:10">
      <c r="A170" s="6">
        <v>169</v>
      </c>
      <c r="B170" s="37" t="s">
        <v>348</v>
      </c>
      <c r="C170" s="44" t="s">
        <v>349</v>
      </c>
      <c r="D170" s="28">
        <v>2</v>
      </c>
      <c r="E170" s="29" t="s">
        <v>12</v>
      </c>
      <c r="F170" s="30">
        <v>11</v>
      </c>
      <c r="G170" s="11">
        <f t="shared" si="2"/>
        <v>22</v>
      </c>
      <c r="H170" s="12" t="s">
        <v>13</v>
      </c>
      <c r="I170" s="6" t="s">
        <v>14</v>
      </c>
      <c r="J170" s="26" t="str">
        <f>_xlfn.DISPIMG("ID_E292DB9E43134CB2A9D99DE466F4C5DA",1)</f>
        <v>=DISPIMG("ID_E292DB9E43134CB2A9D99DE466F4C5DA",1)</v>
      </c>
    </row>
    <row r="171" s="2" customFormat="1" ht="65.5" spans="1:10">
      <c r="A171" s="6">
        <v>170</v>
      </c>
      <c r="B171" s="28" t="s">
        <v>350</v>
      </c>
      <c r="C171" s="33" t="s">
        <v>351</v>
      </c>
      <c r="D171" s="15">
        <v>6</v>
      </c>
      <c r="E171" s="15" t="s">
        <v>352</v>
      </c>
      <c r="F171" s="23">
        <v>34</v>
      </c>
      <c r="G171" s="11">
        <f t="shared" si="2"/>
        <v>204</v>
      </c>
      <c r="H171" s="12" t="s">
        <v>13</v>
      </c>
      <c r="I171" s="6" t="s">
        <v>14</v>
      </c>
      <c r="J171" s="77" t="str">
        <f>_xlfn.DISPIMG("ID_CAAE814A499A42B3877D683B7FE29F2C",1)</f>
        <v>=DISPIMG("ID_CAAE814A499A42B3877D683B7FE29F2C",1)</v>
      </c>
    </row>
    <row r="172" s="2" customFormat="1" ht="102.25" spans="1:10">
      <c r="A172" s="6">
        <v>171</v>
      </c>
      <c r="B172" s="7" t="s">
        <v>353</v>
      </c>
      <c r="C172" s="8" t="s">
        <v>354</v>
      </c>
      <c r="D172" s="18">
        <v>3</v>
      </c>
      <c r="E172" s="18" t="s">
        <v>12</v>
      </c>
      <c r="F172" s="19">
        <v>12</v>
      </c>
      <c r="G172" s="11">
        <f t="shared" si="2"/>
        <v>36</v>
      </c>
      <c r="H172" s="12" t="s">
        <v>13</v>
      </c>
      <c r="I172" s="6" t="s">
        <v>14</v>
      </c>
      <c r="J172" s="41" t="str">
        <f>_xlfn.DISPIMG("ID_B3B88AE960D04769B2EA7020BC96B59E",1)</f>
        <v>=DISPIMG("ID_B3B88AE960D04769B2EA7020BC96B59E",1)</v>
      </c>
    </row>
    <row r="173" s="2" customFormat="1" ht="50.75" spans="1:10">
      <c r="A173" s="6">
        <v>172</v>
      </c>
      <c r="B173" s="13" t="s">
        <v>355</v>
      </c>
      <c r="C173" s="14" t="s">
        <v>356</v>
      </c>
      <c r="D173" s="15">
        <v>3</v>
      </c>
      <c r="E173" s="15" t="s">
        <v>17</v>
      </c>
      <c r="F173" s="16">
        <v>8</v>
      </c>
      <c r="G173" s="11">
        <f t="shared" si="2"/>
        <v>24</v>
      </c>
      <c r="H173" s="12" t="s">
        <v>13</v>
      </c>
      <c r="I173" s="6" t="s">
        <v>14</v>
      </c>
      <c r="J173" s="48" t="str">
        <f>_xlfn.DISPIMG("ID_D79E19702D084A6CBBB2A13174544B55",1)</f>
        <v>=DISPIMG("ID_D79E19702D084A6CBBB2A13174544B55",1)</v>
      </c>
    </row>
    <row r="174" s="2" customFormat="1" ht="77" spans="1:10">
      <c r="A174" s="6">
        <v>173</v>
      </c>
      <c r="B174" s="13" t="s">
        <v>357</v>
      </c>
      <c r="C174" s="14" t="s">
        <v>358</v>
      </c>
      <c r="D174" s="15">
        <v>3</v>
      </c>
      <c r="E174" s="15" t="s">
        <v>17</v>
      </c>
      <c r="F174" s="16">
        <v>25</v>
      </c>
      <c r="G174" s="11">
        <f t="shared" si="2"/>
        <v>75</v>
      </c>
      <c r="H174" s="12" t="s">
        <v>13</v>
      </c>
      <c r="I174" s="6" t="s">
        <v>14</v>
      </c>
      <c r="J174" s="48" t="str">
        <f>_xlfn.DISPIMG("ID_2F78D116F60246859956229335217765",1)</f>
        <v>=DISPIMG("ID_2F78D116F60246859956229335217765",1)</v>
      </c>
    </row>
    <row r="175" s="2" customFormat="1" ht="54.25" spans="1:10">
      <c r="A175" s="6">
        <v>174</v>
      </c>
      <c r="B175" s="13" t="s">
        <v>359</v>
      </c>
      <c r="C175" s="14" t="s">
        <v>360</v>
      </c>
      <c r="D175" s="15">
        <v>3</v>
      </c>
      <c r="E175" s="15" t="s">
        <v>12</v>
      </c>
      <c r="F175" s="16">
        <v>19</v>
      </c>
      <c r="G175" s="11">
        <f t="shared" si="2"/>
        <v>57</v>
      </c>
      <c r="H175" s="12" t="s">
        <v>13</v>
      </c>
      <c r="I175" s="6" t="s">
        <v>14</v>
      </c>
      <c r="J175" s="48" t="str">
        <f>_xlfn.DISPIMG("ID_17C5636E22F7439BB5AAB10C8F8A822F",1)</f>
        <v>=DISPIMG("ID_17C5636E22F7439BB5AAB10C8F8A822F",1)</v>
      </c>
    </row>
    <row r="176" s="2" customFormat="1" ht="50.5" spans="1:10">
      <c r="A176" s="6">
        <v>175</v>
      </c>
      <c r="B176" s="13" t="s">
        <v>361</v>
      </c>
      <c r="C176" s="14" t="s">
        <v>362</v>
      </c>
      <c r="D176" s="15">
        <v>3</v>
      </c>
      <c r="E176" s="15" t="s">
        <v>17</v>
      </c>
      <c r="F176" s="16">
        <v>21</v>
      </c>
      <c r="G176" s="11">
        <f t="shared" si="2"/>
        <v>63</v>
      </c>
      <c r="H176" s="12" t="s">
        <v>13</v>
      </c>
      <c r="I176" s="6" t="s">
        <v>14</v>
      </c>
      <c r="J176" s="48" t="str">
        <f>_xlfn.DISPIMG("ID_84562665C48D4F0EA3147A4A6E3E5D1D",1)</f>
        <v>=DISPIMG("ID_84562665C48D4F0EA3147A4A6E3E5D1D",1)</v>
      </c>
    </row>
    <row r="177" s="2" customFormat="1" ht="149.2" spans="1:10">
      <c r="A177" s="6">
        <v>176</v>
      </c>
      <c r="B177" s="17" t="s">
        <v>363</v>
      </c>
      <c r="C177" s="41" t="s">
        <v>318</v>
      </c>
      <c r="D177" s="18">
        <v>3</v>
      </c>
      <c r="E177" s="18" t="s">
        <v>12</v>
      </c>
      <c r="F177" s="19">
        <v>21</v>
      </c>
      <c r="G177" s="11">
        <f t="shared" si="2"/>
        <v>63</v>
      </c>
      <c r="H177" s="12" t="s">
        <v>13</v>
      </c>
      <c r="I177" s="6" t="s">
        <v>14</v>
      </c>
      <c r="J177" s="52" t="str">
        <f>_xlfn.DISPIMG("ID_589826EFB94F4D6CB8DFE88A31518445",1)</f>
        <v>=DISPIMG("ID_589826EFB94F4D6CB8DFE88A31518445",1)</v>
      </c>
    </row>
    <row r="178" s="2" customFormat="1" ht="81.35" spans="1:10">
      <c r="A178" s="6">
        <v>177</v>
      </c>
      <c r="B178" s="37" t="s">
        <v>364</v>
      </c>
      <c r="C178" s="38" t="s">
        <v>365</v>
      </c>
      <c r="D178" s="25">
        <v>15</v>
      </c>
      <c r="E178" s="25" t="s">
        <v>17</v>
      </c>
      <c r="F178" s="25">
        <v>10</v>
      </c>
      <c r="G178" s="11">
        <f t="shared" si="2"/>
        <v>150</v>
      </c>
      <c r="H178" s="12" t="s">
        <v>13</v>
      </c>
      <c r="I178" s="6" t="s">
        <v>14</v>
      </c>
      <c r="J178" s="50" t="str">
        <f>_xlfn.DISPIMG("ID_DDD86FB593A7430A9AC54DF34397C725",1)</f>
        <v>=DISPIMG("ID_DDD86FB593A7430A9AC54DF34397C725",1)</v>
      </c>
    </row>
    <row r="179" s="2" customFormat="1" ht="50.8" spans="1:10">
      <c r="A179" s="6">
        <v>178</v>
      </c>
      <c r="B179" s="13" t="s">
        <v>366</v>
      </c>
      <c r="C179" s="73" t="s">
        <v>356</v>
      </c>
      <c r="D179" s="15">
        <v>3</v>
      </c>
      <c r="E179" s="15" t="s">
        <v>17</v>
      </c>
      <c r="F179" s="16">
        <v>8</v>
      </c>
      <c r="G179" s="11">
        <f t="shared" si="2"/>
        <v>24</v>
      </c>
      <c r="H179" s="12" t="s">
        <v>13</v>
      </c>
      <c r="I179" s="6" t="s">
        <v>14</v>
      </c>
      <c r="J179" s="48" t="str">
        <f>_xlfn.DISPIMG("ID_53F786E11593476584172DBF23CD73FA",1)</f>
        <v>=DISPIMG("ID_53F786E11593476584172DBF23CD73FA",1)</v>
      </c>
    </row>
    <row r="180" s="2" customFormat="1" ht="63.4" spans="1:10">
      <c r="A180" s="6">
        <v>179</v>
      </c>
      <c r="B180" s="74" t="s">
        <v>367</v>
      </c>
      <c r="C180" s="75" t="s">
        <v>368</v>
      </c>
      <c r="D180" s="18">
        <v>3</v>
      </c>
      <c r="E180" s="18" t="s">
        <v>17</v>
      </c>
      <c r="F180" s="19">
        <v>39</v>
      </c>
      <c r="G180" s="11">
        <f t="shared" si="2"/>
        <v>117</v>
      </c>
      <c r="H180" s="12" t="s">
        <v>13</v>
      </c>
      <c r="I180" s="6" t="s">
        <v>14</v>
      </c>
      <c r="J180" s="49" t="str">
        <f>_xlfn.DISPIMG("ID_BD6004D7C757453F8DC4D0FF299F83AB",1)</f>
        <v>=DISPIMG("ID_BD6004D7C757453F8DC4D0FF299F83AB",1)</v>
      </c>
    </row>
    <row r="181" s="2" customFormat="1" ht="36" spans="1:10">
      <c r="A181" s="6">
        <v>180</v>
      </c>
      <c r="B181" s="21" t="s">
        <v>369</v>
      </c>
      <c r="C181" s="59" t="s">
        <v>370</v>
      </c>
      <c r="D181" s="25">
        <v>36</v>
      </c>
      <c r="E181" s="6" t="s">
        <v>28</v>
      </c>
      <c r="F181" s="23">
        <v>69</v>
      </c>
      <c r="G181" s="11">
        <f t="shared" si="2"/>
        <v>2484</v>
      </c>
      <c r="H181" s="12" t="s">
        <v>13</v>
      </c>
      <c r="I181" s="6" t="s">
        <v>14</v>
      </c>
      <c r="J181" s="78" t="str">
        <f>_xlfn.DISPIMG("ID_977E666BD4834D3B93F1159DB7CAF10E",1)</f>
        <v>=DISPIMG("ID_977E666BD4834D3B93F1159DB7CAF10E",1)</v>
      </c>
    </row>
    <row r="182" s="2" customFormat="1" ht="84" spans="1:10">
      <c r="A182" s="6">
        <v>181</v>
      </c>
      <c r="B182" s="59" t="s">
        <v>371</v>
      </c>
      <c r="C182" s="59" t="s">
        <v>372</v>
      </c>
      <c r="D182" s="25">
        <v>5</v>
      </c>
      <c r="E182" s="25" t="s">
        <v>12</v>
      </c>
      <c r="F182" s="25">
        <v>47</v>
      </c>
      <c r="G182" s="11">
        <f t="shared" si="2"/>
        <v>235</v>
      </c>
      <c r="H182" s="12" t="s">
        <v>13</v>
      </c>
      <c r="I182" s="6" t="s">
        <v>14</v>
      </c>
      <c r="J182" s="50" t="str">
        <f>_xlfn.DISPIMG("ID_D8EC59BDD147480D91AEFC2F5C188E83",1)</f>
        <v>=DISPIMG("ID_D8EC59BDD147480D91AEFC2F5C188E83",1)</v>
      </c>
    </row>
    <row r="183" s="2" customFormat="1" ht="63.1" spans="1:10">
      <c r="A183" s="6">
        <v>182</v>
      </c>
      <c r="B183" s="13" t="s">
        <v>373</v>
      </c>
      <c r="C183" s="14" t="s">
        <v>374</v>
      </c>
      <c r="D183" s="15">
        <v>3</v>
      </c>
      <c r="E183" s="15" t="s">
        <v>12</v>
      </c>
      <c r="F183" s="16">
        <v>74</v>
      </c>
      <c r="G183" s="11">
        <f t="shared" si="2"/>
        <v>222</v>
      </c>
      <c r="H183" s="12" t="s">
        <v>13</v>
      </c>
      <c r="I183" s="6" t="s">
        <v>14</v>
      </c>
      <c r="J183" s="48" t="str">
        <f>_xlfn.DISPIMG("ID_D74A6337472C4C05813B44926E3DD154",1)</f>
        <v>=DISPIMG("ID_D74A6337472C4C05813B44926E3DD154",1)</v>
      </c>
    </row>
    <row r="184" s="2" customFormat="1" ht="111.15" spans="1:10">
      <c r="A184" s="6">
        <v>183</v>
      </c>
      <c r="B184" s="7" t="s">
        <v>375</v>
      </c>
      <c r="C184" s="8" t="s">
        <v>376</v>
      </c>
      <c r="D184" s="18">
        <v>3</v>
      </c>
      <c r="E184" s="18" t="s">
        <v>12</v>
      </c>
      <c r="F184" s="19">
        <v>90</v>
      </c>
      <c r="G184" s="11">
        <f t="shared" si="2"/>
        <v>270</v>
      </c>
      <c r="H184" s="12" t="s">
        <v>13</v>
      </c>
      <c r="I184" s="6" t="s">
        <v>14</v>
      </c>
      <c r="J184" s="49" t="str">
        <f>_xlfn.DISPIMG("ID_D1A92E6337B544C88448B3C4400159CD",1)</f>
        <v>=DISPIMG("ID_D1A92E6337B544C88448B3C4400159CD",1)</v>
      </c>
    </row>
    <row r="185" s="2" customFormat="1" ht="255.65" spans="1:10">
      <c r="A185" s="6">
        <v>184</v>
      </c>
      <c r="B185" s="39" t="s">
        <v>377</v>
      </c>
      <c r="C185" s="8" t="s">
        <v>378</v>
      </c>
      <c r="D185" s="39">
        <v>1</v>
      </c>
      <c r="E185" s="39" t="s">
        <v>12</v>
      </c>
      <c r="F185" s="10">
        <v>20</v>
      </c>
      <c r="G185" s="11">
        <f t="shared" si="2"/>
        <v>20</v>
      </c>
      <c r="H185" s="12" t="s">
        <v>13</v>
      </c>
      <c r="I185" s="6" t="s">
        <v>14</v>
      </c>
      <c r="J185" s="54" t="str">
        <f>_xlfn.DISPIMG("ID_1199F641725041668476BEFF103DB1DD",1)</f>
        <v>=DISPIMG("ID_1199F641725041668476BEFF103DB1DD",1)</v>
      </c>
    </row>
    <row r="186" s="2" customFormat="1" ht="70.05" spans="1:10">
      <c r="A186" s="6">
        <v>185</v>
      </c>
      <c r="B186" s="7" t="s">
        <v>379</v>
      </c>
      <c r="C186" s="34" t="s">
        <v>380</v>
      </c>
      <c r="D186" s="18">
        <v>3</v>
      </c>
      <c r="E186" s="18" t="s">
        <v>12</v>
      </c>
      <c r="F186" s="19">
        <v>12</v>
      </c>
      <c r="G186" s="11">
        <f t="shared" si="2"/>
        <v>36</v>
      </c>
      <c r="H186" s="12" t="s">
        <v>13</v>
      </c>
      <c r="I186" s="6" t="s">
        <v>14</v>
      </c>
      <c r="J186" s="41" t="str">
        <f>_xlfn.DISPIMG("ID_44D9B6154CC14C47B19D68052A89A1DD",1)</f>
        <v>=DISPIMG("ID_44D9B6154CC14C47B19D68052A89A1DD",1)</v>
      </c>
    </row>
    <row r="187" s="2" customFormat="1" ht="58.5" spans="1:10">
      <c r="A187" s="6">
        <v>186</v>
      </c>
      <c r="B187" s="17" t="s">
        <v>381</v>
      </c>
      <c r="C187" s="20" t="s">
        <v>382</v>
      </c>
      <c r="D187" s="10">
        <v>1</v>
      </c>
      <c r="E187" s="10" t="s">
        <v>12</v>
      </c>
      <c r="F187" s="10">
        <v>13</v>
      </c>
      <c r="G187" s="11">
        <f t="shared" si="2"/>
        <v>13</v>
      </c>
      <c r="H187" s="12" t="s">
        <v>13</v>
      </c>
      <c r="I187" s="6" t="s">
        <v>14</v>
      </c>
      <c r="J187" s="47" t="str">
        <f>_xlfn.DISPIMG("ID_02F251B681A64198AE3022154FBE07E7",1)</f>
        <v>=DISPIMG("ID_02F251B681A64198AE3022154FBE07E7",1)</v>
      </c>
    </row>
    <row r="188" s="2" customFormat="1" ht="74.35" spans="1:10">
      <c r="A188" s="6">
        <v>187</v>
      </c>
      <c r="B188" s="7" t="s">
        <v>383</v>
      </c>
      <c r="C188" s="8" t="s">
        <v>384</v>
      </c>
      <c r="D188" s="65">
        <v>1</v>
      </c>
      <c r="E188" s="65" t="s">
        <v>17</v>
      </c>
      <c r="F188" s="10">
        <v>48</v>
      </c>
      <c r="G188" s="11">
        <f t="shared" si="2"/>
        <v>48</v>
      </c>
      <c r="H188" s="12" t="s">
        <v>13</v>
      </c>
      <c r="I188" s="6" t="s">
        <v>14</v>
      </c>
      <c r="J188" s="47" t="str">
        <f>_xlfn.DISPIMG("ID_12E31924FBA14BA89E9822CFB86F80D7",1)</f>
        <v>=DISPIMG("ID_12E31924FBA14BA89E9822CFB86F80D7",1)</v>
      </c>
    </row>
    <row r="189" s="2" customFormat="1" ht="48" spans="1:10">
      <c r="A189" s="6">
        <v>188</v>
      </c>
      <c r="B189" s="35" t="s">
        <v>385</v>
      </c>
      <c r="C189" s="36" t="s">
        <v>386</v>
      </c>
      <c r="D189" s="25">
        <v>12</v>
      </c>
      <c r="E189" s="6" t="s">
        <v>28</v>
      </c>
      <c r="F189" s="23">
        <v>63</v>
      </c>
      <c r="G189" s="11">
        <f t="shared" si="2"/>
        <v>756</v>
      </c>
      <c r="H189" s="12" t="s">
        <v>13</v>
      </c>
      <c r="I189" s="6" t="s">
        <v>14</v>
      </c>
      <c r="J189" s="53" t="str">
        <f>_xlfn.DISPIMG("ID_DDCD90ABFDFA4F66834CBE3C5AF63723",1)</f>
        <v>=DISPIMG("ID_DDCD90ABFDFA4F66834CBE3C5AF63723",1)</v>
      </c>
    </row>
    <row r="190" s="2" customFormat="1" ht="68.9" spans="1:10">
      <c r="A190" s="6">
        <v>189</v>
      </c>
      <c r="B190" s="39" t="s">
        <v>387</v>
      </c>
      <c r="C190" s="8" t="s">
        <v>388</v>
      </c>
      <c r="D190" s="18">
        <v>3</v>
      </c>
      <c r="E190" s="18" t="s">
        <v>67</v>
      </c>
      <c r="F190" s="19">
        <v>29</v>
      </c>
      <c r="G190" s="11">
        <f t="shared" si="2"/>
        <v>87</v>
      </c>
      <c r="H190" s="12" t="s">
        <v>13</v>
      </c>
      <c r="I190" s="6" t="s">
        <v>14</v>
      </c>
      <c r="J190" s="52" t="str">
        <f>_xlfn.DISPIMG("ID_9F38164B8CBC4DD298B4143FCBEA70D8",1)</f>
        <v>=DISPIMG("ID_9F38164B8CBC4DD298B4143FCBEA70D8",1)</v>
      </c>
    </row>
    <row r="191" s="2" customFormat="1" ht="146.6" spans="1:10">
      <c r="A191" s="6">
        <v>190</v>
      </c>
      <c r="B191" s="7" t="s">
        <v>389</v>
      </c>
      <c r="C191" s="41" t="s">
        <v>390</v>
      </c>
      <c r="D191" s="39">
        <v>1</v>
      </c>
      <c r="E191" s="39" t="s">
        <v>12</v>
      </c>
      <c r="F191" s="10">
        <v>20</v>
      </c>
      <c r="G191" s="11">
        <f t="shared" si="2"/>
        <v>20</v>
      </c>
      <c r="H191" s="12" t="s">
        <v>13</v>
      </c>
      <c r="I191" s="6" t="s">
        <v>14</v>
      </c>
      <c r="J191" s="54" t="str">
        <f>_xlfn.DISPIMG("ID_C17F919BE1F54F058E979B902328A33F",1)</f>
        <v>=DISPIMG("ID_C17F919BE1F54F058E979B902328A33F",1)</v>
      </c>
    </row>
    <row r="192" s="2" customFormat="1" ht="133.2" spans="1:10">
      <c r="A192" s="6">
        <v>191</v>
      </c>
      <c r="B192" s="7" t="s">
        <v>391</v>
      </c>
      <c r="C192" s="8" t="s">
        <v>392</v>
      </c>
      <c r="D192" s="18">
        <v>36</v>
      </c>
      <c r="E192" s="18" t="s">
        <v>12</v>
      </c>
      <c r="F192" s="19">
        <v>13</v>
      </c>
      <c r="G192" s="11">
        <f t="shared" si="2"/>
        <v>468</v>
      </c>
      <c r="H192" s="12" t="s">
        <v>13</v>
      </c>
      <c r="I192" s="6" t="s">
        <v>14</v>
      </c>
      <c r="J192" s="41" t="str">
        <f>_xlfn.DISPIMG("ID_FD6601ADBB694DD09651B050824D6AC1",1)</f>
        <v>=DISPIMG("ID_FD6601ADBB694DD09651B050824D6AC1",1)</v>
      </c>
    </row>
    <row r="193" s="2" customFormat="1" ht="67.25" spans="1:10">
      <c r="A193" s="6">
        <v>192</v>
      </c>
      <c r="B193" s="13" t="s">
        <v>393</v>
      </c>
      <c r="C193" s="14" t="s">
        <v>394</v>
      </c>
      <c r="D193" s="15">
        <v>3</v>
      </c>
      <c r="E193" s="15" t="s">
        <v>12</v>
      </c>
      <c r="F193" s="16">
        <v>165</v>
      </c>
      <c r="G193" s="11">
        <f t="shared" si="2"/>
        <v>495</v>
      </c>
      <c r="H193" s="12" t="s">
        <v>13</v>
      </c>
      <c r="I193" s="6" t="s">
        <v>14</v>
      </c>
      <c r="J193" s="48" t="str">
        <f>_xlfn.DISPIMG("ID_3235D364954F48C09AEF5478FE4095A7",1)</f>
        <v>=DISPIMG("ID_3235D364954F48C09AEF5478FE4095A7",1)</v>
      </c>
    </row>
    <row r="194" s="2" customFormat="1" ht="84" spans="1:10">
      <c r="A194" s="6">
        <v>193</v>
      </c>
      <c r="B194" s="37" t="s">
        <v>395</v>
      </c>
      <c r="C194" s="44" t="s">
        <v>396</v>
      </c>
      <c r="D194" s="28">
        <v>4</v>
      </c>
      <c r="E194" s="29" t="s">
        <v>17</v>
      </c>
      <c r="F194" s="30">
        <v>19</v>
      </c>
      <c r="G194" s="11">
        <f t="shared" ref="G194:G257" si="3">F194*D194</f>
        <v>76</v>
      </c>
      <c r="H194" s="12" t="s">
        <v>13</v>
      </c>
      <c r="I194" s="6" t="s">
        <v>14</v>
      </c>
      <c r="J194" s="26" t="str">
        <f>_xlfn.DISPIMG("ID_6320129AC0BA4BB3BD3FF874D54F1424",1)</f>
        <v>=DISPIMG("ID_6320129AC0BA4BB3BD3FF874D54F1424",1)</v>
      </c>
    </row>
    <row r="195" s="2" customFormat="1" ht="72" spans="1:10">
      <c r="A195" s="6">
        <v>194</v>
      </c>
      <c r="B195" s="37" t="s">
        <v>397</v>
      </c>
      <c r="C195" s="44" t="s">
        <v>230</v>
      </c>
      <c r="D195" s="28">
        <v>2</v>
      </c>
      <c r="E195" s="29" t="s">
        <v>17</v>
      </c>
      <c r="F195" s="30">
        <v>17</v>
      </c>
      <c r="G195" s="11">
        <f t="shared" si="3"/>
        <v>34</v>
      </c>
      <c r="H195" s="12" t="s">
        <v>13</v>
      </c>
      <c r="I195" s="6" t="s">
        <v>14</v>
      </c>
      <c r="J195" s="26" t="str">
        <f>_xlfn.DISPIMG("ID_E991E412002C48028B1A4EFB8B82A35D",1)</f>
        <v>=DISPIMG("ID_E991E412002C48028B1A4EFB8B82A35D",1)</v>
      </c>
    </row>
    <row r="196" s="2" customFormat="1" ht="53.3" spans="1:10">
      <c r="A196" s="6">
        <v>195</v>
      </c>
      <c r="B196" s="13" t="s">
        <v>398</v>
      </c>
      <c r="C196" s="14" t="s">
        <v>399</v>
      </c>
      <c r="D196" s="15">
        <v>3</v>
      </c>
      <c r="E196" s="15" t="s">
        <v>12</v>
      </c>
      <c r="F196" s="16">
        <v>21</v>
      </c>
      <c r="G196" s="11">
        <f t="shared" si="3"/>
        <v>63</v>
      </c>
      <c r="H196" s="12" t="s">
        <v>13</v>
      </c>
      <c r="I196" s="6" t="s">
        <v>14</v>
      </c>
      <c r="J196" s="48" t="str">
        <f>_xlfn.DISPIMG("ID_D59FF22A6287454784B7DCB60C45244C",1)</f>
        <v>=DISPIMG("ID_D59FF22A6287454784B7DCB60C45244C",1)</v>
      </c>
    </row>
    <row r="197" s="2" customFormat="1" ht="56.1" spans="1:10">
      <c r="A197" s="6">
        <v>196</v>
      </c>
      <c r="B197" s="13" t="s">
        <v>400</v>
      </c>
      <c r="C197" s="14" t="s">
        <v>401</v>
      </c>
      <c r="D197" s="15">
        <v>3</v>
      </c>
      <c r="E197" s="15" t="s">
        <v>17</v>
      </c>
      <c r="F197" s="16">
        <v>8</v>
      </c>
      <c r="G197" s="11">
        <f t="shared" si="3"/>
        <v>24</v>
      </c>
      <c r="H197" s="12" t="s">
        <v>13</v>
      </c>
      <c r="I197" s="6" t="s">
        <v>14</v>
      </c>
      <c r="J197" s="48" t="str">
        <f>_xlfn.DISPIMG("ID_C78047B6C13249FEBE376E76C06AA6CA",1)</f>
        <v>=DISPIMG("ID_C78047B6C13249FEBE376E76C06AA6CA",1)</v>
      </c>
    </row>
    <row r="198" s="2" customFormat="1" ht="108" spans="1:10">
      <c r="A198" s="6">
        <v>197</v>
      </c>
      <c r="B198" s="14" t="s">
        <v>402</v>
      </c>
      <c r="C198" s="42" t="s">
        <v>403</v>
      </c>
      <c r="D198" s="15">
        <v>3</v>
      </c>
      <c r="E198" s="15" t="s">
        <v>12</v>
      </c>
      <c r="F198" s="16">
        <v>210</v>
      </c>
      <c r="G198" s="11">
        <f t="shared" si="3"/>
        <v>630</v>
      </c>
      <c r="H198" s="12" t="s">
        <v>13</v>
      </c>
      <c r="I198" s="6" t="s">
        <v>14</v>
      </c>
      <c r="J198" s="55" t="str">
        <f>_xlfn.DISPIMG("ID_6A6041A54E79466C82B28245EA336724",1)</f>
        <v>=DISPIMG("ID_6A6041A54E79466C82B28245EA336724",1)</v>
      </c>
    </row>
    <row r="199" s="2" customFormat="1" ht="84" spans="1:10">
      <c r="A199" s="6">
        <v>198</v>
      </c>
      <c r="B199" s="37" t="s">
        <v>404</v>
      </c>
      <c r="C199" s="37" t="s">
        <v>405</v>
      </c>
      <c r="D199" s="28">
        <v>2</v>
      </c>
      <c r="E199" s="29" t="s">
        <v>17</v>
      </c>
      <c r="F199" s="30">
        <v>19</v>
      </c>
      <c r="G199" s="11">
        <f t="shared" si="3"/>
        <v>38</v>
      </c>
      <c r="H199" s="12" t="s">
        <v>13</v>
      </c>
      <c r="I199" s="6" t="s">
        <v>14</v>
      </c>
      <c r="J199" s="26" t="str">
        <f>_xlfn.DISPIMG("ID_78BE684C8F194E4DB6E4A622D334E67F",1)</f>
        <v>=DISPIMG("ID_78BE684C8F194E4DB6E4A622D334E67F",1)</v>
      </c>
    </row>
    <row r="200" s="2" customFormat="1" ht="57" spans="1:10">
      <c r="A200" s="6">
        <v>199</v>
      </c>
      <c r="B200" s="17" t="s">
        <v>179</v>
      </c>
      <c r="C200" s="8" t="s">
        <v>406</v>
      </c>
      <c r="D200" s="18">
        <v>3</v>
      </c>
      <c r="E200" s="18" t="s">
        <v>17</v>
      </c>
      <c r="F200" s="19">
        <v>4</v>
      </c>
      <c r="G200" s="11">
        <f t="shared" si="3"/>
        <v>12</v>
      </c>
      <c r="H200" s="12" t="s">
        <v>13</v>
      </c>
      <c r="I200" s="6" t="s">
        <v>14</v>
      </c>
      <c r="J200" s="51" t="str">
        <f>_xlfn.DISPIMG("ID_01ACD93812BA4F3D93D08FE9527F47BE",1)</f>
        <v>=DISPIMG("ID_01ACD93812BA4F3D93D08FE9527F47BE",1)</v>
      </c>
    </row>
    <row r="201" s="2" customFormat="1" ht="126.1" spans="1:10">
      <c r="A201" s="6">
        <v>200</v>
      </c>
      <c r="B201" s="39" t="s">
        <v>62</v>
      </c>
      <c r="C201" s="41" t="s">
        <v>407</v>
      </c>
      <c r="D201" s="18">
        <v>3</v>
      </c>
      <c r="E201" s="18" t="s">
        <v>64</v>
      </c>
      <c r="F201" s="19">
        <v>40</v>
      </c>
      <c r="G201" s="11">
        <f t="shared" si="3"/>
        <v>120</v>
      </c>
      <c r="H201" s="12" t="s">
        <v>13</v>
      </c>
      <c r="I201" s="6" t="s">
        <v>14</v>
      </c>
      <c r="J201" s="41" t="str">
        <f>_xlfn.DISPIMG("ID_8FD8E5BA7D16432E96B0EA6AB8BB541D",1)</f>
        <v>=DISPIMG("ID_8FD8E5BA7D16432E96B0EA6AB8BB541D",1)</v>
      </c>
    </row>
    <row r="202" s="2" customFormat="1" ht="39.65" spans="1:10">
      <c r="A202" s="6">
        <v>201</v>
      </c>
      <c r="B202" s="14" t="s">
        <v>408</v>
      </c>
      <c r="C202" s="14" t="s">
        <v>409</v>
      </c>
      <c r="D202" s="15">
        <v>3</v>
      </c>
      <c r="E202" s="15" t="s">
        <v>17</v>
      </c>
      <c r="F202" s="16">
        <v>12</v>
      </c>
      <c r="G202" s="11">
        <f t="shared" si="3"/>
        <v>36</v>
      </c>
      <c r="H202" s="12" t="s">
        <v>13</v>
      </c>
      <c r="I202" s="6" t="s">
        <v>14</v>
      </c>
      <c r="J202" s="55" t="str">
        <f>_xlfn.DISPIMG("ID_CAF8683DA05A42DDBF58B762BBE17C79",1)</f>
        <v>=DISPIMG("ID_CAF8683DA05A42DDBF58B762BBE17C79",1)</v>
      </c>
    </row>
    <row r="203" s="2" customFormat="1" ht="73.5" spans="1:10">
      <c r="A203" s="6">
        <v>202</v>
      </c>
      <c r="B203" s="13" t="s">
        <v>410</v>
      </c>
      <c r="C203" s="14" t="s">
        <v>411</v>
      </c>
      <c r="D203" s="15">
        <v>3</v>
      </c>
      <c r="E203" s="15" t="s">
        <v>12</v>
      </c>
      <c r="F203" s="16">
        <v>23</v>
      </c>
      <c r="G203" s="11">
        <f t="shared" si="3"/>
        <v>69</v>
      </c>
      <c r="H203" s="12" t="s">
        <v>13</v>
      </c>
      <c r="I203" s="6" t="s">
        <v>14</v>
      </c>
      <c r="J203" s="48" t="str">
        <f>_xlfn.DISPIMG("ID_5C6D726A138241AF804BD7C4309B5D04",1)</f>
        <v>=DISPIMG("ID_5C6D726A138241AF804BD7C4309B5D04",1)</v>
      </c>
    </row>
    <row r="204" s="2" customFormat="1" ht="63.35" spans="1:10">
      <c r="A204" s="6">
        <v>203</v>
      </c>
      <c r="B204" s="7" t="s">
        <v>412</v>
      </c>
      <c r="C204" s="8" t="s">
        <v>413</v>
      </c>
      <c r="D204" s="39">
        <v>1</v>
      </c>
      <c r="E204" s="39" t="s">
        <v>12</v>
      </c>
      <c r="F204" s="10">
        <v>4</v>
      </c>
      <c r="G204" s="11">
        <f t="shared" si="3"/>
        <v>4</v>
      </c>
      <c r="H204" s="12" t="s">
        <v>13</v>
      </c>
      <c r="I204" s="6" t="s">
        <v>14</v>
      </c>
      <c r="J204" s="47" t="str">
        <f>_xlfn.DISPIMG("ID_1DF53C71F6D64771BB71BFED5985BA22",1)</f>
        <v>=DISPIMG("ID_1DF53C71F6D64771BB71BFED5985BA22",1)</v>
      </c>
    </row>
    <row r="205" s="2" customFormat="1" ht="67.7" spans="1:10">
      <c r="A205" s="6">
        <v>204</v>
      </c>
      <c r="B205" s="26" t="s">
        <v>414</v>
      </c>
      <c r="C205" s="44" t="s">
        <v>415</v>
      </c>
      <c r="D205" s="28">
        <v>2</v>
      </c>
      <c r="E205" s="29" t="s">
        <v>17</v>
      </c>
      <c r="F205" s="30">
        <v>11</v>
      </c>
      <c r="G205" s="11">
        <f t="shared" si="3"/>
        <v>22</v>
      </c>
      <c r="H205" s="12" t="s">
        <v>13</v>
      </c>
      <c r="I205" s="6" t="s">
        <v>14</v>
      </c>
      <c r="J205" s="26" t="str">
        <f>_xlfn.DISPIMG("ID_2297F537CD31415B8F2CC0649C962EC0",1)</f>
        <v>=DISPIMG("ID_2297F537CD31415B8F2CC0649C962EC0",1)</v>
      </c>
    </row>
    <row r="206" s="2" customFormat="1" ht="64.65" spans="1:10">
      <c r="A206" s="6">
        <v>205</v>
      </c>
      <c r="B206" s="37" t="s">
        <v>416</v>
      </c>
      <c r="C206" s="79" t="s">
        <v>417</v>
      </c>
      <c r="D206" s="28">
        <v>2</v>
      </c>
      <c r="E206" s="29" t="s">
        <v>17</v>
      </c>
      <c r="F206" s="30">
        <v>24</v>
      </c>
      <c r="G206" s="11">
        <f t="shared" si="3"/>
        <v>48</v>
      </c>
      <c r="H206" s="12" t="s">
        <v>13</v>
      </c>
      <c r="I206" s="6" t="s">
        <v>14</v>
      </c>
      <c r="J206" s="26" t="str">
        <f>_xlfn.DISPIMG("ID_F23A669BD834488FA6F88D56DEA00AA6",1)</f>
        <v>=DISPIMG("ID_F23A669BD834488FA6F88D56DEA00AA6",1)</v>
      </c>
    </row>
    <row r="207" s="2" customFormat="1" ht="57" spans="1:10">
      <c r="A207" s="6">
        <v>206</v>
      </c>
      <c r="B207" s="7" t="s">
        <v>286</v>
      </c>
      <c r="C207" s="8" t="s">
        <v>418</v>
      </c>
      <c r="D207" s="65">
        <v>1</v>
      </c>
      <c r="E207" s="65" t="s">
        <v>12</v>
      </c>
      <c r="F207" s="10">
        <v>8</v>
      </c>
      <c r="G207" s="11">
        <f t="shared" si="3"/>
        <v>8</v>
      </c>
      <c r="H207" s="12" t="s">
        <v>13</v>
      </c>
      <c r="I207" s="6" t="s">
        <v>14</v>
      </c>
      <c r="J207" s="47" t="str">
        <f>_xlfn.DISPIMG("ID_B2DDF0141BF5447090D930EF20BE3CD6",1)</f>
        <v>=DISPIMG("ID_B2DDF0141BF5447090D930EF20BE3CD6",1)</v>
      </c>
    </row>
    <row r="208" s="2" customFormat="1" ht="59.7" spans="1:10">
      <c r="A208" s="6">
        <v>207</v>
      </c>
      <c r="B208" s="13" t="s">
        <v>419</v>
      </c>
      <c r="C208" s="14" t="s">
        <v>420</v>
      </c>
      <c r="D208" s="15">
        <v>3</v>
      </c>
      <c r="E208" s="15" t="s">
        <v>12</v>
      </c>
      <c r="F208" s="16">
        <v>66</v>
      </c>
      <c r="G208" s="11">
        <f t="shared" si="3"/>
        <v>198</v>
      </c>
      <c r="H208" s="12" t="s">
        <v>13</v>
      </c>
      <c r="I208" s="6" t="s">
        <v>14</v>
      </c>
      <c r="J208" s="48" t="str">
        <f>_xlfn.DISPIMG("ID_880799889D1B46C3B1207138C6D0BA9E",1)</f>
        <v>=DISPIMG("ID_880799889D1B46C3B1207138C6D0BA9E",1)</v>
      </c>
    </row>
    <row r="209" s="2" customFormat="1" ht="131.05" spans="1:10">
      <c r="A209" s="6">
        <v>208</v>
      </c>
      <c r="B209" s="64" t="s">
        <v>421</v>
      </c>
      <c r="C209" s="60" t="s">
        <v>422</v>
      </c>
      <c r="D209" s="18">
        <v>3</v>
      </c>
      <c r="E209" s="18" t="s">
        <v>12</v>
      </c>
      <c r="F209" s="19">
        <v>136</v>
      </c>
      <c r="G209" s="11">
        <f t="shared" si="3"/>
        <v>408</v>
      </c>
      <c r="H209" s="12" t="s">
        <v>13</v>
      </c>
      <c r="I209" s="6" t="s">
        <v>14</v>
      </c>
      <c r="J209" s="52" t="str">
        <f>_xlfn.DISPIMG("ID_3DF1C331D95C4DEF896F1B1273D41B31",1)</f>
        <v>=DISPIMG("ID_3DF1C331D95C4DEF896F1B1273D41B31",1)</v>
      </c>
    </row>
    <row r="210" s="2" customFormat="1" ht="57" spans="1:10">
      <c r="A210" s="6">
        <v>209</v>
      </c>
      <c r="B210" s="7" t="s">
        <v>179</v>
      </c>
      <c r="C210" s="8" t="s">
        <v>180</v>
      </c>
      <c r="D210" s="18">
        <v>3</v>
      </c>
      <c r="E210" s="18" t="s">
        <v>17</v>
      </c>
      <c r="F210" s="19">
        <v>4</v>
      </c>
      <c r="G210" s="11">
        <f t="shared" si="3"/>
        <v>12</v>
      </c>
      <c r="H210" s="12" t="s">
        <v>13</v>
      </c>
      <c r="I210" s="6" t="s">
        <v>14</v>
      </c>
      <c r="J210" s="49" t="str">
        <f>_xlfn.DISPIMG("ID_109FA1A5024A417CB6A212737A5610FC",1)</f>
        <v>=DISPIMG("ID_109FA1A5024A417CB6A212737A5610FC",1)</v>
      </c>
    </row>
    <row r="211" s="2" customFormat="1" ht="145.7" spans="1:10">
      <c r="A211" s="6">
        <v>210</v>
      </c>
      <c r="B211" s="26" t="s">
        <v>423</v>
      </c>
      <c r="C211" s="79" t="s">
        <v>424</v>
      </c>
      <c r="D211" s="28">
        <v>2</v>
      </c>
      <c r="E211" s="29" t="s">
        <v>17</v>
      </c>
      <c r="F211" s="30">
        <v>62</v>
      </c>
      <c r="G211" s="11">
        <f t="shared" si="3"/>
        <v>124</v>
      </c>
      <c r="H211" s="12" t="s">
        <v>13</v>
      </c>
      <c r="I211" s="6" t="s">
        <v>14</v>
      </c>
      <c r="J211" s="26" t="str">
        <f>_xlfn.DISPIMG("ID_9625A2524B1B49339E81256177930791",1)</f>
        <v>=DISPIMG("ID_9625A2524B1B49339E81256177930791",1)</v>
      </c>
    </row>
    <row r="212" s="2" customFormat="1" ht="72" spans="1:10">
      <c r="A212" s="6">
        <v>211</v>
      </c>
      <c r="B212" s="37" t="s">
        <v>425</v>
      </c>
      <c r="C212" s="44" t="s">
        <v>230</v>
      </c>
      <c r="D212" s="28">
        <v>2</v>
      </c>
      <c r="E212" s="29" t="s">
        <v>17</v>
      </c>
      <c r="F212" s="30">
        <v>10</v>
      </c>
      <c r="G212" s="11">
        <f t="shared" si="3"/>
        <v>20</v>
      </c>
      <c r="H212" s="12" t="s">
        <v>13</v>
      </c>
      <c r="I212" s="6" t="s">
        <v>14</v>
      </c>
      <c r="J212" s="26" t="str">
        <f>_xlfn.DISPIMG("ID_1E6365F2AFDE4D8F82301DD51A9BAFE1",1)</f>
        <v>=DISPIMG("ID_1E6365F2AFDE4D8F82301DD51A9BAFE1",1)</v>
      </c>
    </row>
    <row r="213" s="2" customFormat="1" ht="51.55" spans="1:10">
      <c r="A213" s="6">
        <v>212</v>
      </c>
      <c r="B213" s="80" t="s">
        <v>151</v>
      </c>
      <c r="C213" s="8" t="s">
        <v>426</v>
      </c>
      <c r="D213" s="18">
        <v>6</v>
      </c>
      <c r="E213" s="18" t="s">
        <v>12</v>
      </c>
      <c r="F213" s="19">
        <v>12</v>
      </c>
      <c r="G213" s="11">
        <f t="shared" si="3"/>
        <v>72</v>
      </c>
      <c r="H213" s="12" t="s">
        <v>13</v>
      </c>
      <c r="I213" s="6" t="s">
        <v>14</v>
      </c>
      <c r="J213" s="41" t="str">
        <f>_xlfn.DISPIMG("ID_76A69BBE47A842D0BB50B731D92EAC2B",1)</f>
        <v>=DISPIMG("ID_76A69BBE47A842D0BB50B731D92EAC2B",1)</v>
      </c>
    </row>
    <row r="214" s="2" customFormat="1" ht="85.5" spans="1:10">
      <c r="A214" s="6">
        <v>213</v>
      </c>
      <c r="B214" s="7" t="s">
        <v>427</v>
      </c>
      <c r="C214" s="8" t="s">
        <v>428</v>
      </c>
      <c r="D214" s="18">
        <v>36</v>
      </c>
      <c r="E214" s="39" t="s">
        <v>17</v>
      </c>
      <c r="F214" s="10">
        <v>40</v>
      </c>
      <c r="G214" s="11">
        <f t="shared" si="3"/>
        <v>1440</v>
      </c>
      <c r="H214" s="12" t="s">
        <v>13</v>
      </c>
      <c r="I214" s="6" t="s">
        <v>14</v>
      </c>
      <c r="J214" s="83" t="str">
        <f>_xlfn.DISPIMG("ID_84A0BE1CF66C4A79A1E0426BDD6404A8",1)</f>
        <v>=DISPIMG("ID_84A0BE1CF66C4A79A1E0426BDD6404A8",1)</v>
      </c>
    </row>
    <row r="215" s="2" customFormat="1" ht="84" spans="1:10">
      <c r="A215" s="6">
        <v>214</v>
      </c>
      <c r="B215" s="37" t="s">
        <v>429</v>
      </c>
      <c r="C215" s="37" t="s">
        <v>430</v>
      </c>
      <c r="D215" s="28">
        <v>2</v>
      </c>
      <c r="E215" s="29" t="s">
        <v>17</v>
      </c>
      <c r="F215" s="30">
        <v>19</v>
      </c>
      <c r="G215" s="11">
        <f t="shared" si="3"/>
        <v>38</v>
      </c>
      <c r="H215" s="12" t="s">
        <v>13</v>
      </c>
      <c r="I215" s="6" t="s">
        <v>14</v>
      </c>
      <c r="J215" s="26" t="str">
        <f>_xlfn.DISPIMG("ID_CCF88394DA5442CF90838CB01D9E84A0",1)</f>
        <v>=DISPIMG("ID_CCF88394DA5442CF90838CB01D9E84A0",1)</v>
      </c>
    </row>
    <row r="216" s="2" customFormat="1" ht="108" spans="1:10">
      <c r="A216" s="6">
        <v>215</v>
      </c>
      <c r="B216" s="59" t="s">
        <v>431</v>
      </c>
      <c r="C216" s="38" t="s">
        <v>432</v>
      </c>
      <c r="D216" s="25">
        <v>5</v>
      </c>
      <c r="E216" s="25" t="s">
        <v>12</v>
      </c>
      <c r="F216" s="25">
        <v>174</v>
      </c>
      <c r="G216" s="11">
        <f t="shared" si="3"/>
        <v>870</v>
      </c>
      <c r="H216" s="12" t="s">
        <v>13</v>
      </c>
      <c r="I216" s="6" t="s">
        <v>14</v>
      </c>
      <c r="J216" s="50" t="str">
        <f>_xlfn.DISPIMG("ID_6C8E4BCD170A4C75AAB3D56676A163B1",1)</f>
        <v>=DISPIMG("ID_6C8E4BCD170A4C75AAB3D56676A163B1",1)</v>
      </c>
    </row>
    <row r="217" s="2" customFormat="1" ht="72" spans="1:10">
      <c r="A217" s="6">
        <v>216</v>
      </c>
      <c r="B217" s="37" t="s">
        <v>433</v>
      </c>
      <c r="C217" s="44" t="s">
        <v>434</v>
      </c>
      <c r="D217" s="28">
        <v>2</v>
      </c>
      <c r="E217" s="29" t="s">
        <v>17</v>
      </c>
      <c r="F217" s="30">
        <v>11</v>
      </c>
      <c r="G217" s="11">
        <f t="shared" si="3"/>
        <v>22</v>
      </c>
      <c r="H217" s="12" t="s">
        <v>13</v>
      </c>
      <c r="I217" s="6" t="s">
        <v>14</v>
      </c>
      <c r="J217" s="26" t="str">
        <f>_xlfn.DISPIMG("ID_F3F4C3FED0B44C98B3999F57F79B691F",1)</f>
        <v>=DISPIMG("ID_F3F4C3FED0B44C98B3999F57F79B691F",1)</v>
      </c>
    </row>
    <row r="218" s="2" customFormat="1" ht="72" spans="1:10">
      <c r="A218" s="6">
        <v>217</v>
      </c>
      <c r="B218" s="37" t="s">
        <v>435</v>
      </c>
      <c r="C218" s="44" t="s">
        <v>436</v>
      </c>
      <c r="D218" s="28">
        <v>4</v>
      </c>
      <c r="E218" s="29" t="s">
        <v>17</v>
      </c>
      <c r="F218" s="30">
        <v>19</v>
      </c>
      <c r="G218" s="11">
        <f t="shared" si="3"/>
        <v>76</v>
      </c>
      <c r="H218" s="12" t="s">
        <v>13</v>
      </c>
      <c r="I218" s="6" t="s">
        <v>14</v>
      </c>
      <c r="J218" s="26" t="str">
        <f>_xlfn.DISPIMG("ID_C41EE037391845128A0F24ADAF3F8A85",1)</f>
        <v>=DISPIMG("ID_C41EE037391845128A0F24ADAF3F8A85",1)</v>
      </c>
    </row>
    <row r="219" s="2" customFormat="1" ht="124.45" spans="1:10">
      <c r="A219" s="6">
        <v>218</v>
      </c>
      <c r="B219" s="7" t="s">
        <v>437</v>
      </c>
      <c r="C219" s="8" t="s">
        <v>438</v>
      </c>
      <c r="D219" s="18">
        <v>3</v>
      </c>
      <c r="E219" s="18" t="s">
        <v>17</v>
      </c>
      <c r="F219" s="19">
        <v>39</v>
      </c>
      <c r="G219" s="11">
        <f t="shared" si="3"/>
        <v>117</v>
      </c>
      <c r="H219" s="12" t="s">
        <v>13</v>
      </c>
      <c r="I219" s="6" t="s">
        <v>14</v>
      </c>
      <c r="J219" s="51" t="str">
        <f>_xlfn.DISPIMG("ID_CB063ACCD74C4CE59C93F1B389320F47",1)</f>
        <v>=DISPIMG("ID_CB063ACCD74C4CE59C93F1B389320F47",1)</v>
      </c>
    </row>
    <row r="220" s="2" customFormat="1" ht="72" spans="1:10">
      <c r="A220" s="6">
        <v>219</v>
      </c>
      <c r="B220" s="26" t="s">
        <v>439</v>
      </c>
      <c r="C220" s="44" t="s">
        <v>230</v>
      </c>
      <c r="D220" s="28">
        <v>2</v>
      </c>
      <c r="E220" s="29" t="s">
        <v>17</v>
      </c>
      <c r="F220" s="30">
        <v>17</v>
      </c>
      <c r="G220" s="11">
        <f t="shared" si="3"/>
        <v>34</v>
      </c>
      <c r="H220" s="12" t="s">
        <v>13</v>
      </c>
      <c r="I220" s="6" t="s">
        <v>14</v>
      </c>
      <c r="J220" s="26" t="str">
        <f>_xlfn.DISPIMG("ID_1B869CF38F5C45B88EAD8D4DA1FAD617",1)</f>
        <v>=DISPIMG("ID_1B869CF38F5C45B88EAD8D4DA1FAD617",1)</v>
      </c>
    </row>
    <row r="221" s="2" customFormat="1" ht="68.9" spans="1:10">
      <c r="A221" s="6">
        <v>220</v>
      </c>
      <c r="B221" s="37" t="s">
        <v>440</v>
      </c>
      <c r="C221" s="38" t="s">
        <v>441</v>
      </c>
      <c r="D221" s="25">
        <v>5</v>
      </c>
      <c r="E221" s="25" t="s">
        <v>64</v>
      </c>
      <c r="F221" s="25">
        <v>40</v>
      </c>
      <c r="G221" s="11">
        <f t="shared" si="3"/>
        <v>200</v>
      </c>
      <c r="H221" s="12" t="s">
        <v>13</v>
      </c>
      <c r="I221" s="6" t="s">
        <v>14</v>
      </c>
      <c r="J221" s="50" t="str">
        <f>_xlfn.DISPIMG("ID_BAE62408038A42A7A5878B058C37D881",1)</f>
        <v>=DISPIMG("ID_BAE62408038A42A7A5878B058C37D881",1)</v>
      </c>
    </row>
    <row r="222" s="2" customFormat="1" ht="42.75" spans="1:10">
      <c r="A222" s="6">
        <v>221</v>
      </c>
      <c r="B222" s="7" t="s">
        <v>442</v>
      </c>
      <c r="C222" s="8" t="s">
        <v>443</v>
      </c>
      <c r="D222" s="9">
        <v>1</v>
      </c>
      <c r="E222" s="9" t="s">
        <v>12</v>
      </c>
      <c r="F222" s="10">
        <v>8</v>
      </c>
      <c r="G222" s="11">
        <f t="shared" si="3"/>
        <v>8</v>
      </c>
      <c r="H222" s="12" t="s">
        <v>13</v>
      </c>
      <c r="I222" s="6" t="s">
        <v>14</v>
      </c>
      <c r="J222" s="47" t="str">
        <f>_xlfn.DISPIMG("ID_DA8940F2002E4794BABC89A805FE47B0",1)</f>
        <v>=DISPIMG("ID_DA8940F2002E4794BABC89A805FE47B0",1)</v>
      </c>
    </row>
    <row r="223" s="2" customFormat="1" ht="63.45" spans="1:10">
      <c r="A223" s="6">
        <v>222</v>
      </c>
      <c r="B223" s="7" t="s">
        <v>444</v>
      </c>
      <c r="C223" s="8" t="s">
        <v>445</v>
      </c>
      <c r="D223" s="9">
        <v>1</v>
      </c>
      <c r="E223" s="9" t="s">
        <v>12</v>
      </c>
      <c r="F223" s="10">
        <v>21</v>
      </c>
      <c r="G223" s="11">
        <f t="shared" si="3"/>
        <v>21</v>
      </c>
      <c r="H223" s="12" t="s">
        <v>13</v>
      </c>
      <c r="I223" s="6" t="s">
        <v>14</v>
      </c>
      <c r="J223" s="47" t="str">
        <f>_xlfn.DISPIMG("ID_B0F518B68CE646C98696C009A33F13FC",1)</f>
        <v>=DISPIMG("ID_B0F518B68CE646C98696C009A33F13FC",1)</v>
      </c>
    </row>
    <row r="224" s="2" customFormat="1" ht="72" spans="1:10">
      <c r="A224" s="6">
        <v>223</v>
      </c>
      <c r="B224" s="26" t="s">
        <v>446</v>
      </c>
      <c r="C224" s="44" t="s">
        <v>230</v>
      </c>
      <c r="D224" s="28">
        <v>2</v>
      </c>
      <c r="E224" s="29" t="s">
        <v>17</v>
      </c>
      <c r="F224" s="30">
        <v>11</v>
      </c>
      <c r="G224" s="11">
        <f t="shared" si="3"/>
        <v>22</v>
      </c>
      <c r="H224" s="12" t="s">
        <v>13</v>
      </c>
      <c r="I224" s="6" t="s">
        <v>14</v>
      </c>
      <c r="J224" s="26" t="str">
        <f>_xlfn.DISPIMG("ID_4F22EE0B94FB4E33B99F5D57D6E4925A",1)</f>
        <v>=DISPIMG("ID_4F22EE0B94FB4E33B99F5D57D6E4925A",1)</v>
      </c>
    </row>
    <row r="225" s="2" customFormat="1" ht="66.15" spans="1:10">
      <c r="A225" s="6">
        <v>224</v>
      </c>
      <c r="B225" s="24" t="s">
        <v>447</v>
      </c>
      <c r="C225" s="38" t="s">
        <v>448</v>
      </c>
      <c r="D225" s="25">
        <v>20</v>
      </c>
      <c r="E225" s="25" t="s">
        <v>17</v>
      </c>
      <c r="F225" s="25">
        <v>22</v>
      </c>
      <c r="G225" s="11">
        <f t="shared" si="3"/>
        <v>440</v>
      </c>
      <c r="H225" s="12" t="s">
        <v>13</v>
      </c>
      <c r="I225" s="6" t="s">
        <v>14</v>
      </c>
      <c r="J225" s="50" t="str">
        <f>_xlfn.DISPIMG("ID_2747BFD781D04E28945255B3834E6554",1)</f>
        <v>=DISPIMG("ID_2747BFD781D04E28945255B3834E6554",1)</v>
      </c>
    </row>
    <row r="226" s="2" customFormat="1" ht="68.25" spans="1:10">
      <c r="A226" s="6">
        <v>225</v>
      </c>
      <c r="B226" s="7" t="s">
        <v>449</v>
      </c>
      <c r="C226" s="8" t="s">
        <v>450</v>
      </c>
      <c r="D226" s="18">
        <v>3</v>
      </c>
      <c r="E226" s="18" t="s">
        <v>67</v>
      </c>
      <c r="F226" s="19">
        <v>12</v>
      </c>
      <c r="G226" s="11">
        <f t="shared" si="3"/>
        <v>36</v>
      </c>
      <c r="H226" s="12" t="s">
        <v>13</v>
      </c>
      <c r="I226" s="6" t="s">
        <v>14</v>
      </c>
      <c r="J226" s="41" t="str">
        <f>_xlfn.DISPIMG("ID_EEC22A5950864DA0A403A93441801BFC",1)</f>
        <v>=DISPIMG("ID_EEC22A5950864DA0A403A93441801BFC",1)</v>
      </c>
    </row>
    <row r="227" s="2" customFormat="1" ht="409.5" spans="1:10">
      <c r="A227" s="6">
        <v>226</v>
      </c>
      <c r="B227" s="7" t="s">
        <v>299</v>
      </c>
      <c r="C227" s="41" t="s">
        <v>451</v>
      </c>
      <c r="D227" s="39">
        <v>1</v>
      </c>
      <c r="E227" s="39" t="s">
        <v>12</v>
      </c>
      <c r="F227" s="10">
        <v>8</v>
      </c>
      <c r="G227" s="11">
        <f t="shared" si="3"/>
        <v>8</v>
      </c>
      <c r="H227" s="12" t="s">
        <v>13</v>
      </c>
      <c r="I227" s="6" t="s">
        <v>14</v>
      </c>
      <c r="J227" s="47" t="str">
        <f>_xlfn.DISPIMG("ID_68E0984C5378438DA1952FE23871FCFA",1)</f>
        <v>=DISPIMG("ID_68E0984C5378438DA1952FE23871FCFA",1)</v>
      </c>
    </row>
    <row r="228" s="2" customFormat="1" ht="45.05" spans="1:10">
      <c r="A228" s="6">
        <v>227</v>
      </c>
      <c r="B228" s="39" t="s">
        <v>452</v>
      </c>
      <c r="C228" s="34" t="s">
        <v>453</v>
      </c>
      <c r="D228" s="18">
        <v>3</v>
      </c>
      <c r="E228" s="18" t="s">
        <v>12</v>
      </c>
      <c r="F228" s="19">
        <v>27</v>
      </c>
      <c r="G228" s="11">
        <f t="shared" si="3"/>
        <v>81</v>
      </c>
      <c r="H228" s="12" t="s">
        <v>13</v>
      </c>
      <c r="I228" s="6" t="s">
        <v>14</v>
      </c>
      <c r="J228" s="41" t="str">
        <f>_xlfn.DISPIMG("ID_F6EBFDA1ABD449E889D760122BE84D78",1)</f>
        <v>=DISPIMG("ID_F6EBFDA1ABD449E889D760122BE84D78",1)</v>
      </c>
    </row>
    <row r="229" s="2" customFormat="1" ht="43.9" spans="1:10">
      <c r="A229" s="6">
        <v>228</v>
      </c>
      <c r="B229" s="80" t="s">
        <v>134</v>
      </c>
      <c r="C229" s="81" t="s">
        <v>454</v>
      </c>
      <c r="D229" s="18">
        <v>3</v>
      </c>
      <c r="E229" s="18" t="s">
        <v>12</v>
      </c>
      <c r="F229" s="19">
        <v>4</v>
      </c>
      <c r="G229" s="11">
        <f t="shared" si="3"/>
        <v>12</v>
      </c>
      <c r="H229" s="12" t="s">
        <v>13</v>
      </c>
      <c r="I229" s="6" t="s">
        <v>14</v>
      </c>
      <c r="J229" s="41" t="str">
        <f>_xlfn.DISPIMG("ID_11B9006BA77047E0B43D60DEC34181EC",1)</f>
        <v>=DISPIMG("ID_11B9006BA77047E0B43D60DEC34181EC",1)</v>
      </c>
    </row>
    <row r="230" s="2" customFormat="1" ht="57" spans="1:10">
      <c r="A230" s="6">
        <v>229</v>
      </c>
      <c r="B230" s="39" t="s">
        <v>179</v>
      </c>
      <c r="C230" s="58" t="s">
        <v>455</v>
      </c>
      <c r="D230" s="18">
        <v>3</v>
      </c>
      <c r="E230" s="18" t="s">
        <v>17</v>
      </c>
      <c r="F230" s="19">
        <v>4</v>
      </c>
      <c r="G230" s="11">
        <f t="shared" si="3"/>
        <v>12</v>
      </c>
      <c r="H230" s="12" t="s">
        <v>13</v>
      </c>
      <c r="I230" s="6" t="s">
        <v>14</v>
      </c>
      <c r="J230" s="41" t="str">
        <f>_xlfn.DISPIMG("ID_C1C4438C9DC94FA7812456C0EF4BF584",1)</f>
        <v>=DISPIMG("ID_C1C4438C9DC94FA7812456C0EF4BF584",1)</v>
      </c>
    </row>
    <row r="231" s="2" customFormat="1" ht="41" spans="1:10">
      <c r="A231" s="6">
        <v>230</v>
      </c>
      <c r="B231" s="78" t="s">
        <v>456</v>
      </c>
      <c r="C231" s="82" t="s">
        <v>457</v>
      </c>
      <c r="D231" s="25">
        <v>72</v>
      </c>
      <c r="E231" s="6" t="s">
        <v>28</v>
      </c>
      <c r="F231" s="23">
        <v>34</v>
      </c>
      <c r="G231" s="11">
        <f t="shared" si="3"/>
        <v>2448</v>
      </c>
      <c r="H231" s="12" t="s">
        <v>13</v>
      </c>
      <c r="I231" s="6" t="s">
        <v>14</v>
      </c>
      <c r="J231" s="78" t="str">
        <f>_xlfn.DISPIMG("ID_C0626C1EBDF04C3093780CE0286E4A6C",1)</f>
        <v>=DISPIMG("ID_C0626C1EBDF04C3093780CE0286E4A6C",1)</v>
      </c>
    </row>
    <row r="232" s="2" customFormat="1" ht="168" spans="1:10">
      <c r="A232" s="6">
        <v>231</v>
      </c>
      <c r="B232" s="13" t="s">
        <v>458</v>
      </c>
      <c r="C232" s="42" t="s">
        <v>459</v>
      </c>
      <c r="D232" s="25">
        <v>3</v>
      </c>
      <c r="E232" s="25" t="s">
        <v>17</v>
      </c>
      <c r="F232" s="43">
        <v>34</v>
      </c>
      <c r="G232" s="11">
        <f t="shared" si="3"/>
        <v>102</v>
      </c>
      <c r="H232" s="12" t="s">
        <v>13</v>
      </c>
      <c r="I232" s="6" t="s">
        <v>14</v>
      </c>
      <c r="J232" s="57" t="str">
        <f>_xlfn.DISPIMG("ID_7B5CAA467F4246A6BE111AD72E82B120",1)</f>
        <v>=DISPIMG("ID_7B5CAA467F4246A6BE111AD72E82B120",1)</v>
      </c>
    </row>
    <row r="233" s="2" customFormat="1" ht="72" spans="1:10">
      <c r="A233" s="6">
        <v>232</v>
      </c>
      <c r="B233" s="26" t="s">
        <v>460</v>
      </c>
      <c r="C233" s="44" t="s">
        <v>461</v>
      </c>
      <c r="D233" s="28">
        <v>2</v>
      </c>
      <c r="E233" s="29" t="s">
        <v>12</v>
      </c>
      <c r="F233" s="30">
        <v>81</v>
      </c>
      <c r="G233" s="11">
        <f t="shared" si="3"/>
        <v>162</v>
      </c>
      <c r="H233" s="12" t="s">
        <v>13</v>
      </c>
      <c r="I233" s="6" t="s">
        <v>14</v>
      </c>
      <c r="J233" s="26" t="str">
        <f>_xlfn.DISPIMG("ID_143A78AA8C034D0FBD233784BF491DCC",1)</f>
        <v>=DISPIMG("ID_143A78AA8C034D0FBD233784BF491DCC",1)</v>
      </c>
    </row>
    <row r="234" s="2" customFormat="1" ht="55.8" spans="1:10">
      <c r="A234" s="6">
        <v>233</v>
      </c>
      <c r="B234" s="7" t="s">
        <v>462</v>
      </c>
      <c r="C234" s="8" t="s">
        <v>463</v>
      </c>
      <c r="D234" s="39">
        <v>1</v>
      </c>
      <c r="E234" s="39" t="s">
        <v>12</v>
      </c>
      <c r="F234" s="10">
        <v>5</v>
      </c>
      <c r="G234" s="11">
        <f t="shared" si="3"/>
        <v>5</v>
      </c>
      <c r="H234" s="12" t="s">
        <v>13</v>
      </c>
      <c r="I234" s="6" t="s">
        <v>14</v>
      </c>
      <c r="J234" s="47" t="str">
        <f>_xlfn.DISPIMG("ID_8BA27905382048A39E832464A981A0BF",1)</f>
        <v>=DISPIMG("ID_8BA27905382048A39E832464A981A0BF",1)</v>
      </c>
    </row>
    <row r="235" s="2" customFormat="1" ht="84" spans="1:10">
      <c r="A235" s="6">
        <v>234</v>
      </c>
      <c r="B235" s="59" t="s">
        <v>464</v>
      </c>
      <c r="C235" s="38" t="s">
        <v>465</v>
      </c>
      <c r="D235" s="25">
        <v>5</v>
      </c>
      <c r="E235" s="25" t="s">
        <v>12</v>
      </c>
      <c r="F235" s="25">
        <v>4</v>
      </c>
      <c r="G235" s="11">
        <f t="shared" si="3"/>
        <v>20</v>
      </c>
      <c r="H235" s="12" t="s">
        <v>13</v>
      </c>
      <c r="I235" s="6" t="s">
        <v>14</v>
      </c>
      <c r="J235" s="50" t="str">
        <f>_xlfn.DISPIMG("ID_61EE78ACEDC34E4CBDC1536D1A944A73",1)</f>
        <v>=DISPIMG("ID_61EE78ACEDC34E4CBDC1536D1A944A73",1)</v>
      </c>
    </row>
    <row r="236" s="2" customFormat="1" ht="78.55" spans="1:10">
      <c r="A236" s="6">
        <v>235</v>
      </c>
      <c r="B236" s="7" t="s">
        <v>466</v>
      </c>
      <c r="C236" s="8" t="s">
        <v>467</v>
      </c>
      <c r="D236" s="39">
        <v>1</v>
      </c>
      <c r="E236" s="39" t="s">
        <v>12</v>
      </c>
      <c r="F236" s="10">
        <v>4</v>
      </c>
      <c r="G236" s="11">
        <f t="shared" si="3"/>
        <v>4</v>
      </c>
      <c r="H236" s="12" t="s">
        <v>13</v>
      </c>
      <c r="I236" s="6" t="s">
        <v>14</v>
      </c>
      <c r="J236" s="47" t="str">
        <f>_xlfn.DISPIMG("ID_7982F9667D9F46A3B89848B4C84E08C1",1)</f>
        <v>=DISPIMG("ID_7982F9667D9F46A3B89848B4C84E08C1",1)</v>
      </c>
    </row>
    <row r="237" s="2" customFormat="1" ht="72" spans="1:10">
      <c r="A237" s="6">
        <v>236</v>
      </c>
      <c r="B237" s="26" t="s">
        <v>425</v>
      </c>
      <c r="C237" s="44" t="s">
        <v>230</v>
      </c>
      <c r="D237" s="28">
        <v>2</v>
      </c>
      <c r="E237" s="29" t="s">
        <v>17</v>
      </c>
      <c r="F237" s="30">
        <v>11</v>
      </c>
      <c r="G237" s="11">
        <f t="shared" si="3"/>
        <v>22</v>
      </c>
      <c r="H237" s="12" t="s">
        <v>13</v>
      </c>
      <c r="I237" s="6" t="s">
        <v>14</v>
      </c>
      <c r="J237" s="26" t="str">
        <f>_xlfn.DISPIMG("ID_5F9B8CFCD2954F5CB847033FD577B5A5",1)</f>
        <v>=DISPIMG("ID_5F9B8CFCD2954F5CB847033FD577B5A5",1)</v>
      </c>
    </row>
    <row r="238" s="2" customFormat="1" ht="72" spans="1:10">
      <c r="A238" s="6">
        <v>237</v>
      </c>
      <c r="B238" s="37" t="s">
        <v>468</v>
      </c>
      <c r="C238" s="44" t="s">
        <v>469</v>
      </c>
      <c r="D238" s="28">
        <v>2</v>
      </c>
      <c r="E238" s="29" t="s">
        <v>17</v>
      </c>
      <c r="F238" s="30">
        <v>17</v>
      </c>
      <c r="G238" s="11">
        <f t="shared" si="3"/>
        <v>34</v>
      </c>
      <c r="H238" s="12" t="s">
        <v>13</v>
      </c>
      <c r="I238" s="6" t="s">
        <v>14</v>
      </c>
      <c r="J238" s="26" t="str">
        <f>_xlfn.DISPIMG("ID_9CF0B32EB40546329130552462A283E9",1)</f>
        <v>=DISPIMG("ID_9CF0B32EB40546329130552462A283E9",1)</v>
      </c>
    </row>
    <row r="239" s="2" customFormat="1" ht="62.25" spans="1:10">
      <c r="A239" s="6">
        <v>238</v>
      </c>
      <c r="B239" s="39" t="s">
        <v>470</v>
      </c>
      <c r="C239" s="41" t="s">
        <v>471</v>
      </c>
      <c r="D239" s="18">
        <v>3</v>
      </c>
      <c r="E239" s="18" t="s">
        <v>12</v>
      </c>
      <c r="F239" s="19">
        <v>19</v>
      </c>
      <c r="G239" s="11">
        <f t="shared" si="3"/>
        <v>57</v>
      </c>
      <c r="H239" s="12" t="s">
        <v>13</v>
      </c>
      <c r="I239" s="6" t="s">
        <v>14</v>
      </c>
      <c r="J239" s="49" t="str">
        <f>_xlfn.DISPIMG("ID_EE3949D991E84A75A2E67B21AC9BABE5",1)</f>
        <v>=DISPIMG("ID_EE3949D991E84A75A2E67B21AC9BABE5",1)</v>
      </c>
    </row>
    <row r="240" s="2" customFormat="1" ht="67.65" spans="1:10">
      <c r="A240" s="6">
        <v>239</v>
      </c>
      <c r="B240" s="37" t="s">
        <v>472</v>
      </c>
      <c r="C240" s="44" t="s">
        <v>473</v>
      </c>
      <c r="D240" s="28">
        <v>12</v>
      </c>
      <c r="E240" s="29" t="s">
        <v>17</v>
      </c>
      <c r="F240" s="30">
        <v>12</v>
      </c>
      <c r="G240" s="11">
        <f t="shared" si="3"/>
        <v>144</v>
      </c>
      <c r="H240" s="12" t="s">
        <v>13</v>
      </c>
      <c r="I240" s="6" t="s">
        <v>14</v>
      </c>
      <c r="J240" s="26" t="str">
        <f>_xlfn.DISPIMG("ID_02B4EB1D23B54D7E86A6D4C2EEF4B064",1)</f>
        <v>=DISPIMG("ID_02B4EB1D23B54D7E86A6D4C2EEF4B064",1)</v>
      </c>
    </row>
    <row r="241" s="2" customFormat="1" ht="54.65" spans="1:10">
      <c r="A241" s="6">
        <v>240</v>
      </c>
      <c r="B241" s="13" t="s">
        <v>474</v>
      </c>
      <c r="C241" s="14" t="s">
        <v>168</v>
      </c>
      <c r="D241" s="15">
        <v>3</v>
      </c>
      <c r="E241" s="15" t="s">
        <v>17</v>
      </c>
      <c r="F241" s="16">
        <v>8</v>
      </c>
      <c r="G241" s="11">
        <f t="shared" si="3"/>
        <v>24</v>
      </c>
      <c r="H241" s="12" t="s">
        <v>13</v>
      </c>
      <c r="I241" s="6" t="s">
        <v>14</v>
      </c>
      <c r="J241" s="48" t="str">
        <f>_xlfn.DISPIMG("ID_222FE1194C4A4C58AD20996933DA095E",1)</f>
        <v>=DISPIMG("ID_222FE1194C4A4C58AD20996933DA095E",1)</v>
      </c>
    </row>
    <row r="242" s="2" customFormat="1" ht="84" spans="1:10">
      <c r="A242" s="6">
        <v>241</v>
      </c>
      <c r="B242" s="37" t="s">
        <v>475</v>
      </c>
      <c r="C242" s="44" t="s">
        <v>106</v>
      </c>
      <c r="D242" s="28">
        <v>2</v>
      </c>
      <c r="E242" s="29" t="s">
        <v>17</v>
      </c>
      <c r="F242" s="30">
        <v>10</v>
      </c>
      <c r="G242" s="11">
        <f t="shared" si="3"/>
        <v>20</v>
      </c>
      <c r="H242" s="12" t="s">
        <v>13</v>
      </c>
      <c r="I242" s="6" t="s">
        <v>14</v>
      </c>
      <c r="J242" s="26" t="str">
        <f>_xlfn.DISPIMG("ID_A8CD2E38525648A2BA03715AB9508E9E",1)</f>
        <v>=DISPIMG("ID_A8CD2E38525648A2BA03715AB9508E9E",1)</v>
      </c>
    </row>
    <row r="243" s="2" customFormat="1" ht="82.5" spans="1:10">
      <c r="A243" s="6">
        <v>242</v>
      </c>
      <c r="B243" s="7" t="s">
        <v>476</v>
      </c>
      <c r="C243" s="8" t="s">
        <v>477</v>
      </c>
      <c r="D243" s="39">
        <v>1</v>
      </c>
      <c r="E243" s="39" t="s">
        <v>17</v>
      </c>
      <c r="F243" s="10">
        <v>6</v>
      </c>
      <c r="G243" s="11">
        <f t="shared" si="3"/>
        <v>6</v>
      </c>
      <c r="H243" s="12" t="s">
        <v>13</v>
      </c>
      <c r="I243" s="6" t="s">
        <v>14</v>
      </c>
      <c r="J243" s="47" t="str">
        <f>_xlfn.DISPIMG("ID_B4C34281CF2645539997E5DC385C3E1C",1)</f>
        <v>=DISPIMG("ID_B4C34281CF2645539997E5DC385C3E1C",1)</v>
      </c>
    </row>
    <row r="244" s="2" customFormat="1" ht="72" spans="1:10">
      <c r="A244" s="6">
        <v>243</v>
      </c>
      <c r="B244" s="37" t="s">
        <v>478</v>
      </c>
      <c r="C244" s="38" t="s">
        <v>479</v>
      </c>
      <c r="D244" s="25">
        <v>15</v>
      </c>
      <c r="E244" s="25" t="s">
        <v>12</v>
      </c>
      <c r="F244" s="25">
        <v>20</v>
      </c>
      <c r="G244" s="11">
        <f t="shared" si="3"/>
        <v>300</v>
      </c>
      <c r="H244" s="12" t="s">
        <v>13</v>
      </c>
      <c r="I244" s="6" t="s">
        <v>14</v>
      </c>
      <c r="J244" s="50" t="str">
        <f>_xlfn.DISPIMG("ID_A806B9AF83E749EBBE131E5ADB95D220",1)</f>
        <v>=DISPIMG("ID_A806B9AF83E749EBBE131E5ADB95D220",1)</v>
      </c>
    </row>
    <row r="245" s="2" customFormat="1" ht="84" spans="1:10">
      <c r="A245" s="6">
        <v>244</v>
      </c>
      <c r="B245" s="37" t="s">
        <v>480</v>
      </c>
      <c r="C245" s="44" t="s">
        <v>106</v>
      </c>
      <c r="D245" s="28">
        <v>2</v>
      </c>
      <c r="E245" s="29" t="s">
        <v>17</v>
      </c>
      <c r="F245" s="30">
        <v>17</v>
      </c>
      <c r="G245" s="11">
        <f t="shared" si="3"/>
        <v>34</v>
      </c>
      <c r="H245" s="12" t="s">
        <v>13</v>
      </c>
      <c r="I245" s="6" t="s">
        <v>14</v>
      </c>
      <c r="J245" s="26" t="str">
        <f>_xlfn.DISPIMG("ID_5A85BB7D2D694667A54EA2ED6F335BCA",1)</f>
        <v>=DISPIMG("ID_5A85BB7D2D694667A54EA2ED6F335BCA",1)</v>
      </c>
    </row>
    <row r="246" s="2" customFormat="1" ht="54.3" spans="1:10">
      <c r="A246" s="6">
        <v>245</v>
      </c>
      <c r="B246" s="13" t="s">
        <v>481</v>
      </c>
      <c r="C246" s="14" t="s">
        <v>482</v>
      </c>
      <c r="D246" s="15">
        <v>3</v>
      </c>
      <c r="E246" s="15" t="s">
        <v>12</v>
      </c>
      <c r="F246" s="16">
        <v>21</v>
      </c>
      <c r="G246" s="11">
        <f t="shared" si="3"/>
        <v>63</v>
      </c>
      <c r="H246" s="12" t="s">
        <v>13</v>
      </c>
      <c r="I246" s="6" t="s">
        <v>14</v>
      </c>
      <c r="J246" s="48" t="str">
        <f>_xlfn.DISPIMG("ID_959B60B77E504873B7F890AF5C4FD083",1)</f>
        <v>=DISPIMG("ID_959B60B77E504873B7F890AF5C4FD083",1)</v>
      </c>
    </row>
    <row r="247" s="2" customFormat="1" ht="142.5" spans="1:10">
      <c r="A247" s="6">
        <v>246</v>
      </c>
      <c r="B247" s="39" t="s">
        <v>483</v>
      </c>
      <c r="C247" s="58" t="s">
        <v>484</v>
      </c>
      <c r="D247" s="18">
        <v>3</v>
      </c>
      <c r="E247" s="18" t="s">
        <v>12</v>
      </c>
      <c r="F247" s="19">
        <v>12</v>
      </c>
      <c r="G247" s="11">
        <f t="shared" si="3"/>
        <v>36</v>
      </c>
      <c r="H247" s="12" t="s">
        <v>13</v>
      </c>
      <c r="I247" s="6" t="s">
        <v>14</v>
      </c>
      <c r="J247" s="41" t="str">
        <f>_xlfn.DISPIMG("ID_49D43F9B6BFC4CED9120C09879D3E4B6",1)</f>
        <v>=DISPIMG("ID_49D43F9B6BFC4CED9120C09879D3E4B6",1)</v>
      </c>
    </row>
    <row r="248" s="2" customFormat="1" ht="58.5" spans="1:10">
      <c r="A248" s="6">
        <v>247</v>
      </c>
      <c r="B248" s="13" t="s">
        <v>485</v>
      </c>
      <c r="C248" s="14" t="s">
        <v>486</v>
      </c>
      <c r="D248" s="15">
        <v>3</v>
      </c>
      <c r="E248" s="15" t="s">
        <v>12</v>
      </c>
      <c r="F248" s="16">
        <v>24</v>
      </c>
      <c r="G248" s="11">
        <f t="shared" si="3"/>
        <v>72</v>
      </c>
      <c r="H248" s="12" t="s">
        <v>13</v>
      </c>
      <c r="I248" s="6" t="s">
        <v>14</v>
      </c>
      <c r="J248" s="48" t="str">
        <f>_xlfn.DISPIMG("ID_F064BD1824B74B7099DCD00577F01994",1)</f>
        <v>=DISPIMG("ID_F064BD1824B74B7099DCD00577F01994",1)</v>
      </c>
    </row>
    <row r="249" s="2" customFormat="1" ht="120.35" spans="1:10">
      <c r="A249" s="6">
        <v>248</v>
      </c>
      <c r="B249" s="17" t="s">
        <v>487</v>
      </c>
      <c r="C249" s="8" t="s">
        <v>488</v>
      </c>
      <c r="D249" s="9">
        <v>1</v>
      </c>
      <c r="E249" s="9" t="s">
        <v>12</v>
      </c>
      <c r="F249" s="10">
        <v>25</v>
      </c>
      <c r="G249" s="11">
        <f t="shared" si="3"/>
        <v>25</v>
      </c>
      <c r="H249" s="12" t="s">
        <v>13</v>
      </c>
      <c r="I249" s="6" t="s">
        <v>14</v>
      </c>
      <c r="J249" s="54" t="str">
        <f>_xlfn.DISPIMG("ID_9C28108142D6400D9E16EAB733575920",1)</f>
        <v>=DISPIMG("ID_9C28108142D6400D9E16EAB733575920",1)</v>
      </c>
    </row>
    <row r="250" s="2" customFormat="1" ht="51.35" spans="1:10">
      <c r="A250" s="6">
        <v>249</v>
      </c>
      <c r="B250" s="39" t="s">
        <v>489</v>
      </c>
      <c r="C250" s="58" t="s">
        <v>490</v>
      </c>
      <c r="D250" s="18">
        <v>3</v>
      </c>
      <c r="E250" s="18" t="s">
        <v>17</v>
      </c>
      <c r="F250" s="19">
        <v>33</v>
      </c>
      <c r="G250" s="11">
        <f t="shared" si="3"/>
        <v>99</v>
      </c>
      <c r="H250" s="12" t="s">
        <v>13</v>
      </c>
      <c r="I250" s="6" t="s">
        <v>14</v>
      </c>
      <c r="J250" s="41" t="str">
        <f>_xlfn.DISPIMG("ID_F6C94A08433D42B8A08560352E4A7D58",1)</f>
        <v>=DISPIMG("ID_F6C94A08433D42B8A08560352E4A7D58",1)</v>
      </c>
    </row>
    <row r="251" s="2" customFormat="1" ht="72" spans="1:10">
      <c r="A251" s="6">
        <v>250</v>
      </c>
      <c r="B251" s="37" t="s">
        <v>491</v>
      </c>
      <c r="C251" s="44" t="s">
        <v>492</v>
      </c>
      <c r="D251" s="28">
        <v>2</v>
      </c>
      <c r="E251" s="29" t="s">
        <v>17</v>
      </c>
      <c r="F251" s="30">
        <v>11</v>
      </c>
      <c r="G251" s="11">
        <f t="shared" si="3"/>
        <v>22</v>
      </c>
      <c r="H251" s="12" t="s">
        <v>13</v>
      </c>
      <c r="I251" s="6" t="s">
        <v>14</v>
      </c>
      <c r="J251" s="26" t="str">
        <f>_xlfn.DISPIMG("ID_420E83517E06445FBEE83A0EDD108EA4",1)</f>
        <v>=DISPIMG("ID_420E83517E06445FBEE83A0EDD108EA4",1)</v>
      </c>
    </row>
    <row r="252" s="2" customFormat="1" ht="42.1" spans="1:10">
      <c r="A252" s="6">
        <v>251</v>
      </c>
      <c r="B252" s="13" t="s">
        <v>366</v>
      </c>
      <c r="C252" s="14" t="s">
        <v>356</v>
      </c>
      <c r="D252" s="15">
        <v>3</v>
      </c>
      <c r="E252" s="15" t="s">
        <v>17</v>
      </c>
      <c r="F252" s="16">
        <v>8</v>
      </c>
      <c r="G252" s="11">
        <f t="shared" si="3"/>
        <v>24</v>
      </c>
      <c r="H252" s="12" t="s">
        <v>13</v>
      </c>
      <c r="I252" s="6" t="s">
        <v>14</v>
      </c>
      <c r="J252" s="48" t="str">
        <f>_xlfn.DISPIMG("ID_179E0520547B470F829D856A392FA49D",1)</f>
        <v>=DISPIMG("ID_179E0520547B470F829D856A392FA49D",1)</v>
      </c>
    </row>
    <row r="253" s="2" customFormat="1" ht="53.85" spans="1:10">
      <c r="A253" s="6">
        <v>252</v>
      </c>
      <c r="B253" s="82" t="s">
        <v>493</v>
      </c>
      <c r="C253" s="82" t="s">
        <v>494</v>
      </c>
      <c r="D253" s="25">
        <v>48</v>
      </c>
      <c r="E253" s="6" t="s">
        <v>28</v>
      </c>
      <c r="F253" s="23">
        <v>17</v>
      </c>
      <c r="G253" s="11">
        <f t="shared" si="3"/>
        <v>816</v>
      </c>
      <c r="H253" s="12" t="s">
        <v>13</v>
      </c>
      <c r="I253" s="6" t="s">
        <v>14</v>
      </c>
      <c r="J253" s="82" t="str">
        <f>_xlfn.DISPIMG("ID_821227327DDB462BBC580745C29ED23E",1)</f>
        <v>=DISPIMG("ID_821227327DDB462BBC580745C29ED23E",1)</v>
      </c>
    </row>
    <row r="254" s="2" customFormat="1" ht="57" spans="1:10">
      <c r="A254" s="6">
        <v>253</v>
      </c>
      <c r="B254" s="7" t="s">
        <v>179</v>
      </c>
      <c r="C254" s="8" t="s">
        <v>455</v>
      </c>
      <c r="D254" s="18">
        <v>3</v>
      </c>
      <c r="E254" s="18" t="s">
        <v>17</v>
      </c>
      <c r="F254" s="19">
        <v>4</v>
      </c>
      <c r="G254" s="11">
        <f t="shared" si="3"/>
        <v>12</v>
      </c>
      <c r="H254" s="12" t="s">
        <v>13</v>
      </c>
      <c r="I254" s="6" t="s">
        <v>14</v>
      </c>
      <c r="J254" s="41" t="str">
        <f>_xlfn.DISPIMG("ID_8FBE0902D83F4773BD46E56E4EA25C2C",1)</f>
        <v>=DISPIMG("ID_8FBE0902D83F4773BD46E56E4EA25C2C",1)</v>
      </c>
    </row>
    <row r="255" s="2" customFormat="1" ht="67.65" spans="1:10">
      <c r="A255" s="6">
        <v>254</v>
      </c>
      <c r="B255" s="37" t="s">
        <v>495</v>
      </c>
      <c r="C255" s="44" t="s">
        <v>496</v>
      </c>
      <c r="D255" s="28">
        <v>12</v>
      </c>
      <c r="E255" s="29" t="s">
        <v>17</v>
      </c>
      <c r="F255" s="30">
        <v>12</v>
      </c>
      <c r="G255" s="11">
        <f t="shared" si="3"/>
        <v>144</v>
      </c>
      <c r="H255" s="12" t="s">
        <v>13</v>
      </c>
      <c r="I255" s="6" t="s">
        <v>14</v>
      </c>
      <c r="J255" s="26" t="str">
        <f>_xlfn.DISPIMG("ID_8FFCD5CEE8F340789301B3CC30C092BF",1)</f>
        <v>=DISPIMG("ID_8FFCD5CEE8F340789301B3CC30C092BF",1)</v>
      </c>
    </row>
    <row r="256" s="2" customFormat="1" ht="102.85" spans="1:10">
      <c r="A256" s="6">
        <v>255</v>
      </c>
      <c r="B256" s="17" t="s">
        <v>391</v>
      </c>
      <c r="C256" s="8" t="s">
        <v>497</v>
      </c>
      <c r="D256" s="9">
        <v>1</v>
      </c>
      <c r="E256" s="9" t="s">
        <v>12</v>
      </c>
      <c r="F256" s="10">
        <v>13</v>
      </c>
      <c r="G256" s="11">
        <f t="shared" si="3"/>
        <v>13</v>
      </c>
      <c r="H256" s="12" t="s">
        <v>13</v>
      </c>
      <c r="I256" s="6" t="s">
        <v>14</v>
      </c>
      <c r="J256" s="47" t="str">
        <f>_xlfn.DISPIMG("ID_19237E0E16FA49D3AF02DA8E49F8270D",1)</f>
        <v>=DISPIMG("ID_19237E0E16FA49D3AF02DA8E49F8270D",1)</v>
      </c>
    </row>
    <row r="257" s="2" customFormat="1" ht="49.35" spans="1:10">
      <c r="A257" s="6">
        <v>256</v>
      </c>
      <c r="B257" s="64" t="s">
        <v>498</v>
      </c>
      <c r="C257" s="34" t="s">
        <v>125</v>
      </c>
      <c r="D257" s="18">
        <v>3</v>
      </c>
      <c r="E257" s="18" t="s">
        <v>12</v>
      </c>
      <c r="F257" s="19">
        <v>30</v>
      </c>
      <c r="G257" s="11">
        <f t="shared" si="3"/>
        <v>90</v>
      </c>
      <c r="H257" s="12" t="s">
        <v>13</v>
      </c>
      <c r="I257" s="6" t="s">
        <v>14</v>
      </c>
      <c r="J257" s="41" t="str">
        <f>_xlfn.DISPIMG("ID_4B5DCD3836194675BD48CAB44F12B017",1)</f>
        <v>=DISPIMG("ID_4B5DCD3836194675BD48CAB44F12B017",1)</v>
      </c>
    </row>
    <row r="258" s="2" customFormat="1" ht="156" spans="1:10">
      <c r="A258" s="6">
        <v>257</v>
      </c>
      <c r="B258" s="13" t="s">
        <v>499</v>
      </c>
      <c r="C258" s="42" t="s">
        <v>500</v>
      </c>
      <c r="D258" s="25">
        <v>3</v>
      </c>
      <c r="E258" s="25" t="s">
        <v>17</v>
      </c>
      <c r="F258" s="43">
        <v>34</v>
      </c>
      <c r="G258" s="11">
        <f t="shared" ref="G258:G321" si="4">F258*D258</f>
        <v>102</v>
      </c>
      <c r="H258" s="12" t="s">
        <v>13</v>
      </c>
      <c r="I258" s="6" t="s">
        <v>14</v>
      </c>
      <c r="J258" s="57" t="str">
        <f>_xlfn.DISPIMG("ID_E4DDE0683132450CBDA4FDB333EEB1E2",1)</f>
        <v>=DISPIMG("ID_E4DDE0683132450CBDA4FDB333EEB1E2",1)</v>
      </c>
    </row>
    <row r="259" s="2" customFormat="1" ht="64.85" spans="1:10">
      <c r="A259" s="6">
        <v>258</v>
      </c>
      <c r="B259" s="17" t="s">
        <v>70</v>
      </c>
      <c r="C259" s="8" t="s">
        <v>501</v>
      </c>
      <c r="D259" s="18">
        <v>3</v>
      </c>
      <c r="E259" s="18" t="s">
        <v>12</v>
      </c>
      <c r="F259" s="19">
        <v>30</v>
      </c>
      <c r="G259" s="11">
        <f t="shared" si="4"/>
        <v>90</v>
      </c>
      <c r="H259" s="12" t="s">
        <v>13</v>
      </c>
      <c r="I259" s="6" t="s">
        <v>14</v>
      </c>
      <c r="J259" s="41" t="str">
        <f>_xlfn.DISPIMG("ID_E8AB8FFC1D254267865B27CD10A4F693",1)</f>
        <v>=DISPIMG("ID_E8AB8FFC1D254267865B27CD10A4F693",1)</v>
      </c>
    </row>
    <row r="260" s="2" customFormat="1" ht="56.1" spans="1:10">
      <c r="A260" s="6">
        <v>259</v>
      </c>
      <c r="B260" s="13" t="s">
        <v>502</v>
      </c>
      <c r="C260" s="14" t="s">
        <v>503</v>
      </c>
      <c r="D260" s="15">
        <v>3</v>
      </c>
      <c r="E260" s="15" t="s">
        <v>12</v>
      </c>
      <c r="F260" s="16">
        <v>4</v>
      </c>
      <c r="G260" s="11">
        <f t="shared" si="4"/>
        <v>12</v>
      </c>
      <c r="H260" s="12" t="s">
        <v>13</v>
      </c>
      <c r="I260" s="6" t="s">
        <v>14</v>
      </c>
      <c r="J260" s="48" t="str">
        <f>_xlfn.DISPIMG("ID_E36A339B44584154987D520A93B7362A",1)</f>
        <v>=DISPIMG("ID_E36A339B44584154987D520A93B7362A",1)</v>
      </c>
    </row>
    <row r="261" s="2" customFormat="1" ht="72.35" spans="1:10">
      <c r="A261" s="6">
        <v>260</v>
      </c>
      <c r="B261" s="7" t="s">
        <v>504</v>
      </c>
      <c r="C261" s="8" t="s">
        <v>505</v>
      </c>
      <c r="D261" s="18">
        <v>3</v>
      </c>
      <c r="E261" s="18" t="s">
        <v>12</v>
      </c>
      <c r="F261" s="19">
        <v>30</v>
      </c>
      <c r="G261" s="11">
        <f t="shared" si="4"/>
        <v>90</v>
      </c>
      <c r="H261" s="12" t="s">
        <v>13</v>
      </c>
      <c r="I261" s="6" t="s">
        <v>14</v>
      </c>
      <c r="J261" s="41" t="str">
        <f>_xlfn.DISPIMG("ID_2D200501C1BB461F88A71D711A85F348",1)</f>
        <v>=DISPIMG("ID_2D200501C1BB461F88A71D711A85F348",1)</v>
      </c>
    </row>
    <row r="262" s="2" customFormat="1" ht="92.05" spans="1:10">
      <c r="A262" s="6">
        <v>261</v>
      </c>
      <c r="B262" s="64" t="s">
        <v>506</v>
      </c>
      <c r="C262" s="8" t="s">
        <v>507</v>
      </c>
      <c r="D262" s="18">
        <v>3</v>
      </c>
      <c r="E262" s="18" t="s">
        <v>17</v>
      </c>
      <c r="F262" s="19">
        <v>81</v>
      </c>
      <c r="G262" s="11">
        <f t="shared" si="4"/>
        <v>243</v>
      </c>
      <c r="H262" s="12" t="s">
        <v>13</v>
      </c>
      <c r="I262" s="6" t="s">
        <v>14</v>
      </c>
      <c r="J262" s="41" t="str">
        <f>_xlfn.DISPIMG("ID_13414919714E4AAA9D915C031DD94937",1)</f>
        <v>=DISPIMG("ID_13414919714E4AAA9D915C031DD94937",1)</v>
      </c>
    </row>
    <row r="263" s="2" customFormat="1" ht="72" spans="1:10">
      <c r="A263" s="6">
        <v>262</v>
      </c>
      <c r="B263" s="37" t="s">
        <v>508</v>
      </c>
      <c r="C263" s="44" t="s">
        <v>509</v>
      </c>
      <c r="D263" s="28">
        <v>4</v>
      </c>
      <c r="E263" s="29" t="s">
        <v>17</v>
      </c>
      <c r="F263" s="30">
        <v>19</v>
      </c>
      <c r="G263" s="11">
        <f t="shared" si="4"/>
        <v>76</v>
      </c>
      <c r="H263" s="12" t="s">
        <v>13</v>
      </c>
      <c r="I263" s="6" t="s">
        <v>14</v>
      </c>
      <c r="J263" s="26" t="str">
        <f>_xlfn.DISPIMG("ID_959EE4C39FD34583BD3A24C943597490",1)</f>
        <v>=DISPIMG("ID_959EE4C39FD34583BD3A24C943597490",1)</v>
      </c>
    </row>
    <row r="264" s="2" customFormat="1" ht="66.05" spans="1:10">
      <c r="A264" s="6">
        <v>263</v>
      </c>
      <c r="B264" s="7" t="s">
        <v>510</v>
      </c>
      <c r="C264" s="8" t="s">
        <v>511</v>
      </c>
      <c r="D264" s="9">
        <v>1</v>
      </c>
      <c r="E264" s="9" t="s">
        <v>12</v>
      </c>
      <c r="F264" s="10">
        <v>47</v>
      </c>
      <c r="G264" s="11">
        <f t="shared" si="4"/>
        <v>47</v>
      </c>
      <c r="H264" s="12" t="s">
        <v>13</v>
      </c>
      <c r="I264" s="6" t="s">
        <v>14</v>
      </c>
      <c r="J264" s="47" t="str">
        <f>_xlfn.DISPIMG("ID_7B2C4D1D97AE4129B6BC9DC61DAACD51",1)</f>
        <v>=DISPIMG("ID_7B2C4D1D97AE4129B6BC9DC61DAACD51",1)</v>
      </c>
    </row>
    <row r="265" s="2" customFormat="1" ht="241.2" spans="1:10">
      <c r="A265" s="6">
        <v>264</v>
      </c>
      <c r="B265" s="37" t="s">
        <v>512</v>
      </c>
      <c r="C265" s="59" t="s">
        <v>513</v>
      </c>
      <c r="D265" s="25">
        <v>15</v>
      </c>
      <c r="E265" s="25" t="s">
        <v>17</v>
      </c>
      <c r="F265" s="25">
        <v>4</v>
      </c>
      <c r="G265" s="11">
        <f t="shared" si="4"/>
        <v>60</v>
      </c>
      <c r="H265" s="12" t="s">
        <v>13</v>
      </c>
      <c r="I265" s="6" t="s">
        <v>14</v>
      </c>
      <c r="J265" s="50" t="str">
        <f>_xlfn.DISPIMG("ID_F2AF88025FC24D4C8B9F96B860626DDA",1)</f>
        <v>=DISPIMG("ID_F2AF88025FC24D4C8B9F96B860626DDA",1)</v>
      </c>
    </row>
    <row r="266" s="2" customFormat="1" ht="71.95" spans="1:10">
      <c r="A266" s="6">
        <v>265</v>
      </c>
      <c r="B266" s="17" t="s">
        <v>514</v>
      </c>
      <c r="C266" s="8" t="s">
        <v>515</v>
      </c>
      <c r="D266" s="18">
        <v>3</v>
      </c>
      <c r="E266" s="18" t="s">
        <v>17</v>
      </c>
      <c r="F266" s="19">
        <v>30</v>
      </c>
      <c r="G266" s="11">
        <f t="shared" si="4"/>
        <v>90</v>
      </c>
      <c r="H266" s="12" t="s">
        <v>13</v>
      </c>
      <c r="I266" s="6" t="s">
        <v>14</v>
      </c>
      <c r="J266" s="49" t="str">
        <f>_xlfn.DISPIMG("ID_47BAFAF3115F4428BD0993BC678113D7",1)</f>
        <v>=DISPIMG("ID_47BAFAF3115F4428BD0993BC678113D7",1)</v>
      </c>
    </row>
    <row r="267" s="2" customFormat="1" ht="79.7" spans="1:10">
      <c r="A267" s="6">
        <v>266</v>
      </c>
      <c r="B267" s="17" t="s">
        <v>516</v>
      </c>
      <c r="C267" s="20" t="s">
        <v>517</v>
      </c>
      <c r="D267" s="9">
        <v>1</v>
      </c>
      <c r="E267" s="9" t="s">
        <v>12</v>
      </c>
      <c r="F267" s="10">
        <v>36</v>
      </c>
      <c r="G267" s="11">
        <f t="shared" si="4"/>
        <v>36</v>
      </c>
      <c r="H267" s="12" t="s">
        <v>13</v>
      </c>
      <c r="I267" s="6" t="s">
        <v>14</v>
      </c>
      <c r="J267" s="47" t="str">
        <f>_xlfn.DISPIMG("ID_13DA3B8C7C7B44ECB4D8F5FB13F8B299",1)</f>
        <v>=DISPIMG("ID_13DA3B8C7C7B44ECB4D8F5FB13F8B299",1)</v>
      </c>
    </row>
    <row r="268" s="2" customFormat="1" ht="66.1" spans="1:10">
      <c r="A268" s="6">
        <v>267</v>
      </c>
      <c r="B268" s="15" t="s">
        <v>518</v>
      </c>
      <c r="C268" s="33" t="s">
        <v>519</v>
      </c>
      <c r="D268" s="15">
        <v>3</v>
      </c>
      <c r="E268" s="15" t="s">
        <v>12</v>
      </c>
      <c r="F268" s="23">
        <v>12</v>
      </c>
      <c r="G268" s="11">
        <f t="shared" si="4"/>
        <v>36</v>
      </c>
      <c r="H268" s="12" t="s">
        <v>13</v>
      </c>
      <c r="I268" s="6" t="s">
        <v>14</v>
      </c>
      <c r="J268" s="15" t="str">
        <f>_xlfn.DISPIMG("ID_CD41F7ADA09E4532BC1D43754EF23224",1)</f>
        <v>=DISPIMG("ID_CD41F7ADA09E4532BC1D43754EF23224",1)</v>
      </c>
    </row>
    <row r="269" s="2" customFormat="1" ht="61.3" spans="1:10">
      <c r="A269" s="6">
        <v>268</v>
      </c>
      <c r="B269" s="84" t="s">
        <v>520</v>
      </c>
      <c r="C269" s="45" t="s">
        <v>521</v>
      </c>
      <c r="D269" s="9">
        <v>1</v>
      </c>
      <c r="E269" s="9" t="s">
        <v>12</v>
      </c>
      <c r="F269" s="10">
        <v>67</v>
      </c>
      <c r="G269" s="11">
        <f t="shared" si="4"/>
        <v>67</v>
      </c>
      <c r="H269" s="12" t="s">
        <v>13</v>
      </c>
      <c r="I269" s="6" t="s">
        <v>14</v>
      </c>
      <c r="J269" s="47" t="str">
        <f>_xlfn.DISPIMG("ID_20541ACA42634C44BDF7A9DD6637FA1B",1)</f>
        <v>=DISPIMG("ID_20541ACA42634C44BDF7A9DD6637FA1B",1)</v>
      </c>
    </row>
    <row r="270" s="2" customFormat="1" ht="69" spans="1:10">
      <c r="A270" s="6">
        <v>269</v>
      </c>
      <c r="B270" s="13" t="s">
        <v>522</v>
      </c>
      <c r="C270" s="14" t="s">
        <v>523</v>
      </c>
      <c r="D270" s="25">
        <v>3</v>
      </c>
      <c r="E270" s="25" t="s">
        <v>17</v>
      </c>
      <c r="F270" s="43">
        <v>34</v>
      </c>
      <c r="G270" s="11">
        <f t="shared" si="4"/>
        <v>102</v>
      </c>
      <c r="H270" s="12" t="s">
        <v>13</v>
      </c>
      <c r="I270" s="6" t="s">
        <v>14</v>
      </c>
      <c r="J270" s="57" t="str">
        <f>_xlfn.DISPIMG("ID_DE8D902D38CD43B6BBA8FD2C5AACACFD",1)</f>
        <v>=DISPIMG("ID_DE8D902D38CD43B6BBA8FD2C5AACACFD",1)</v>
      </c>
    </row>
    <row r="271" s="2" customFormat="1" ht="61.7" spans="1:10">
      <c r="A271" s="6">
        <v>270</v>
      </c>
      <c r="B271" s="14" t="s">
        <v>524</v>
      </c>
      <c r="C271" s="14" t="s">
        <v>525</v>
      </c>
      <c r="D271" s="15">
        <v>3</v>
      </c>
      <c r="E271" s="15" t="s">
        <v>17</v>
      </c>
      <c r="F271" s="16">
        <v>40</v>
      </c>
      <c r="G271" s="11">
        <f t="shared" si="4"/>
        <v>120</v>
      </c>
      <c r="H271" s="12" t="s">
        <v>13</v>
      </c>
      <c r="I271" s="6" t="s">
        <v>14</v>
      </c>
      <c r="J271" s="55" t="str">
        <f>_xlfn.DISPIMG("ID_AFD434C9617A44059038F34C1AE50B09",1)</f>
        <v>=DISPIMG("ID_AFD434C9617A44059038F34C1AE50B09",1)</v>
      </c>
    </row>
    <row r="272" s="2" customFormat="1" ht="72" spans="1:10">
      <c r="A272" s="6">
        <v>271</v>
      </c>
      <c r="B272" s="37" t="s">
        <v>526</v>
      </c>
      <c r="C272" s="38" t="s">
        <v>527</v>
      </c>
      <c r="D272" s="25">
        <v>15</v>
      </c>
      <c r="E272" s="25" t="s">
        <v>17</v>
      </c>
      <c r="F272" s="25">
        <v>9</v>
      </c>
      <c r="G272" s="11">
        <f t="shared" si="4"/>
        <v>135</v>
      </c>
      <c r="H272" s="12" t="s">
        <v>13</v>
      </c>
      <c r="I272" s="6" t="s">
        <v>14</v>
      </c>
      <c r="J272" s="50" t="str">
        <f>_xlfn.DISPIMG("ID_7EAAC7FA7D7C4166A70255BCA18ADCC9",1)</f>
        <v>=DISPIMG("ID_7EAAC7FA7D7C4166A70255BCA18ADCC9",1)</v>
      </c>
    </row>
    <row r="273" s="2" customFormat="1" ht="116.5" spans="1:10">
      <c r="A273" s="6">
        <v>272</v>
      </c>
      <c r="B273" s="39" t="s">
        <v>528</v>
      </c>
      <c r="C273" s="58" t="s">
        <v>529</v>
      </c>
      <c r="D273" s="18">
        <v>3</v>
      </c>
      <c r="E273" s="18" t="s">
        <v>12</v>
      </c>
      <c r="F273" s="19">
        <v>21</v>
      </c>
      <c r="G273" s="11">
        <f t="shared" si="4"/>
        <v>63</v>
      </c>
      <c r="H273" s="12" t="s">
        <v>13</v>
      </c>
      <c r="I273" s="6" t="s">
        <v>14</v>
      </c>
      <c r="J273" s="41" t="str">
        <f>_xlfn.DISPIMG("ID_D94F69BF15714449A3B720F96DBD3D49",1)</f>
        <v>=DISPIMG("ID_D94F69BF15714449A3B720F96DBD3D49",1)</v>
      </c>
    </row>
    <row r="274" s="2" customFormat="1" ht="83.75" spans="1:10">
      <c r="A274" s="6">
        <v>273</v>
      </c>
      <c r="B274" s="7" t="s">
        <v>161</v>
      </c>
      <c r="C274" s="8" t="s">
        <v>530</v>
      </c>
      <c r="D274" s="18">
        <v>3</v>
      </c>
      <c r="E274" s="18" t="s">
        <v>12</v>
      </c>
      <c r="F274" s="19">
        <v>45</v>
      </c>
      <c r="G274" s="11">
        <f t="shared" si="4"/>
        <v>135</v>
      </c>
      <c r="H274" s="12" t="s">
        <v>13</v>
      </c>
      <c r="I274" s="6" t="s">
        <v>14</v>
      </c>
      <c r="J274" s="41" t="str">
        <f>_xlfn.DISPIMG("ID_FE256F3F704F4D99995C77087486468F",1)</f>
        <v>=DISPIMG("ID_FE256F3F704F4D99995C77087486468F",1)</v>
      </c>
    </row>
    <row r="275" s="2" customFormat="1" ht="47.7" spans="1:10">
      <c r="A275" s="6">
        <v>274</v>
      </c>
      <c r="B275" s="13" t="s">
        <v>531</v>
      </c>
      <c r="C275" s="14" t="s">
        <v>532</v>
      </c>
      <c r="D275" s="15">
        <v>3</v>
      </c>
      <c r="E275" s="15" t="s">
        <v>12</v>
      </c>
      <c r="F275" s="16">
        <v>23</v>
      </c>
      <c r="G275" s="11">
        <f t="shared" si="4"/>
        <v>69</v>
      </c>
      <c r="H275" s="12" t="s">
        <v>13</v>
      </c>
      <c r="I275" s="6" t="s">
        <v>14</v>
      </c>
      <c r="J275" s="48" t="str">
        <f>_xlfn.DISPIMG("ID_9D72374A732A4FBBAF71C54650B42495",1)</f>
        <v>=DISPIMG("ID_9D72374A732A4FBBAF71C54650B42495",1)</v>
      </c>
    </row>
    <row r="276" s="2" customFormat="1" ht="36" spans="1:10">
      <c r="A276" s="6">
        <v>275</v>
      </c>
      <c r="B276" s="13" t="s">
        <v>533</v>
      </c>
      <c r="C276" s="14" t="s">
        <v>534</v>
      </c>
      <c r="D276" s="15">
        <v>3</v>
      </c>
      <c r="E276" s="15" t="s">
        <v>12</v>
      </c>
      <c r="F276" s="16">
        <v>36</v>
      </c>
      <c r="G276" s="11">
        <f t="shared" si="4"/>
        <v>108</v>
      </c>
      <c r="H276" s="12" t="s">
        <v>13</v>
      </c>
      <c r="I276" s="6" t="s">
        <v>14</v>
      </c>
      <c r="J276" s="48" t="str">
        <f>_xlfn.DISPIMG("ID_AEBB5FF99F4F47F3B165DDC8A50C80E7",1)</f>
        <v>=DISPIMG("ID_AEBB5FF99F4F47F3B165DDC8A50C80E7",1)</v>
      </c>
    </row>
    <row r="277" s="2" customFormat="1" ht="72" spans="1:10">
      <c r="A277" s="6">
        <v>276</v>
      </c>
      <c r="B277" s="37" t="s">
        <v>535</v>
      </c>
      <c r="C277" s="44" t="s">
        <v>536</v>
      </c>
      <c r="D277" s="28">
        <v>4</v>
      </c>
      <c r="E277" s="29" t="s">
        <v>17</v>
      </c>
      <c r="F277" s="30">
        <v>19</v>
      </c>
      <c r="G277" s="11">
        <f t="shared" si="4"/>
        <v>76</v>
      </c>
      <c r="H277" s="12" t="s">
        <v>13</v>
      </c>
      <c r="I277" s="6" t="s">
        <v>14</v>
      </c>
      <c r="J277" s="26" t="str">
        <f>_xlfn.DISPIMG("ID_11860BA11EFA499891792BB1F304B6FE",1)</f>
        <v>=DISPIMG("ID_11860BA11EFA499891792BB1F304B6FE",1)</v>
      </c>
    </row>
    <row r="278" s="2" customFormat="1" ht="194.2" spans="1:10">
      <c r="A278" s="6">
        <v>277</v>
      </c>
      <c r="B278" s="7" t="s">
        <v>537</v>
      </c>
      <c r="C278" s="8" t="s">
        <v>538</v>
      </c>
      <c r="D278" s="39">
        <v>1</v>
      </c>
      <c r="E278" s="39" t="s">
        <v>17</v>
      </c>
      <c r="F278" s="10">
        <v>6</v>
      </c>
      <c r="G278" s="11">
        <f t="shared" si="4"/>
        <v>6</v>
      </c>
      <c r="H278" s="12" t="s">
        <v>13</v>
      </c>
      <c r="I278" s="6" t="s">
        <v>14</v>
      </c>
      <c r="J278" s="47" t="str">
        <f>_xlfn.DISPIMG("ID_0B787720A3FE42C18CD9C5052E7EC8BB",1)</f>
        <v>=DISPIMG("ID_0B787720A3FE42C18CD9C5052E7EC8BB",1)</v>
      </c>
    </row>
    <row r="279" s="2" customFormat="1" ht="72" spans="1:10">
      <c r="A279" s="6">
        <v>278</v>
      </c>
      <c r="B279" s="37" t="s">
        <v>539</v>
      </c>
      <c r="C279" s="44" t="s">
        <v>540</v>
      </c>
      <c r="D279" s="28">
        <v>2</v>
      </c>
      <c r="E279" s="29" t="s">
        <v>17</v>
      </c>
      <c r="F279" s="30">
        <v>19</v>
      </c>
      <c r="G279" s="11">
        <f t="shared" si="4"/>
        <v>38</v>
      </c>
      <c r="H279" s="12" t="s">
        <v>13</v>
      </c>
      <c r="I279" s="6" t="s">
        <v>14</v>
      </c>
      <c r="J279" s="26" t="str">
        <f>_xlfn.DISPIMG("ID_9A44526A1811445D81F811B3C9B4A7A8",1)</f>
        <v>=DISPIMG("ID_9A44526A1811445D81F811B3C9B4A7A8",1)</v>
      </c>
    </row>
    <row r="280" s="2" customFormat="1" ht="72.1" spans="1:10">
      <c r="A280" s="6">
        <v>279</v>
      </c>
      <c r="B280" s="39" t="s">
        <v>541</v>
      </c>
      <c r="C280" s="41" t="s">
        <v>542</v>
      </c>
      <c r="D280" s="9">
        <v>1</v>
      </c>
      <c r="E280" s="9" t="s">
        <v>12</v>
      </c>
      <c r="F280" s="10">
        <v>11</v>
      </c>
      <c r="G280" s="11">
        <f t="shared" si="4"/>
        <v>11</v>
      </c>
      <c r="H280" s="12" t="s">
        <v>13</v>
      </c>
      <c r="I280" s="6" t="s">
        <v>14</v>
      </c>
      <c r="J280" s="47" t="str">
        <f>_xlfn.DISPIMG("ID_F10CD610BE7049F384E2F4B215B97A4C",1)</f>
        <v>=DISPIMG("ID_F10CD610BE7049F384E2F4B215B97A4C",1)</v>
      </c>
    </row>
    <row r="281" s="2" customFormat="1" ht="186.05" spans="1:10">
      <c r="A281" s="6">
        <v>280</v>
      </c>
      <c r="B281" s="39" t="s">
        <v>543</v>
      </c>
      <c r="C281" s="41" t="s">
        <v>544</v>
      </c>
      <c r="D281" s="9">
        <v>1</v>
      </c>
      <c r="E281" s="9" t="s">
        <v>64</v>
      </c>
      <c r="F281" s="10">
        <v>20</v>
      </c>
      <c r="G281" s="11">
        <f t="shared" si="4"/>
        <v>20</v>
      </c>
      <c r="H281" s="12" t="s">
        <v>13</v>
      </c>
      <c r="I281" s="6" t="s">
        <v>14</v>
      </c>
      <c r="J281" s="47" t="str">
        <f>_xlfn.DISPIMG("ID_0E3C3539B20D4950B37F212E390D8405",1)</f>
        <v>=DISPIMG("ID_0E3C3539B20D4950B37F212E390D8405",1)</v>
      </c>
    </row>
    <row r="282" s="2" customFormat="1" ht="78.1" spans="1:10">
      <c r="A282" s="6">
        <v>281</v>
      </c>
      <c r="B282" s="39" t="s">
        <v>545</v>
      </c>
      <c r="C282" s="58" t="s">
        <v>546</v>
      </c>
      <c r="D282" s="18">
        <v>3</v>
      </c>
      <c r="E282" s="18" t="s">
        <v>12</v>
      </c>
      <c r="F282" s="19">
        <v>21</v>
      </c>
      <c r="G282" s="11">
        <f t="shared" si="4"/>
        <v>63</v>
      </c>
      <c r="H282" s="12" t="s">
        <v>13</v>
      </c>
      <c r="I282" s="6" t="s">
        <v>14</v>
      </c>
      <c r="J282" s="41" t="str">
        <f>_xlfn.DISPIMG("ID_A7EF50AB4F744B14AF61321AB84DB3B4",1)</f>
        <v>=DISPIMG("ID_A7EF50AB4F744B14AF61321AB84DB3B4",1)</v>
      </c>
    </row>
    <row r="283" s="2" customFormat="1" ht="84" spans="1:10">
      <c r="A283" s="6">
        <v>282</v>
      </c>
      <c r="B283" s="37" t="s">
        <v>547</v>
      </c>
      <c r="C283" s="38" t="s">
        <v>548</v>
      </c>
      <c r="D283" s="25">
        <v>15</v>
      </c>
      <c r="E283" s="25" t="s">
        <v>12</v>
      </c>
      <c r="F283" s="25">
        <v>11</v>
      </c>
      <c r="G283" s="11">
        <f t="shared" si="4"/>
        <v>165</v>
      </c>
      <c r="H283" s="12" t="s">
        <v>13</v>
      </c>
      <c r="I283" s="6" t="s">
        <v>14</v>
      </c>
      <c r="J283" s="50" t="str">
        <f>_xlfn.DISPIMG("ID_F9BC88574CFC4FB088138B029922DC45",1)</f>
        <v>=DISPIMG("ID_F9BC88574CFC4FB088138B029922DC45",1)</v>
      </c>
    </row>
    <row r="284" s="2" customFormat="1" ht="59.25" spans="1:10">
      <c r="A284" s="6">
        <v>283</v>
      </c>
      <c r="B284" s="7" t="s">
        <v>549</v>
      </c>
      <c r="C284" s="8" t="s">
        <v>261</v>
      </c>
      <c r="D284" s="18">
        <v>3</v>
      </c>
      <c r="E284" s="18" t="s">
        <v>67</v>
      </c>
      <c r="F284" s="19">
        <v>29</v>
      </c>
      <c r="G284" s="11">
        <f t="shared" si="4"/>
        <v>87</v>
      </c>
      <c r="H284" s="12" t="s">
        <v>13</v>
      </c>
      <c r="I284" s="6" t="s">
        <v>14</v>
      </c>
      <c r="J284" s="41" t="str">
        <f>_xlfn.DISPIMG("ID_DE6B16F2DED849DB9DA264FDCA84155E",1)</f>
        <v>=DISPIMG("ID_DE6B16F2DED849DB9DA264FDCA84155E",1)</v>
      </c>
    </row>
    <row r="285" s="2" customFormat="1" ht="124" spans="1:10">
      <c r="A285" s="6">
        <v>284</v>
      </c>
      <c r="B285" s="17" t="s">
        <v>550</v>
      </c>
      <c r="C285" s="20" t="s">
        <v>249</v>
      </c>
      <c r="D285" s="9">
        <v>1</v>
      </c>
      <c r="E285" s="9" t="s">
        <v>64</v>
      </c>
      <c r="F285" s="10">
        <v>36</v>
      </c>
      <c r="G285" s="11">
        <f t="shared" si="4"/>
        <v>36</v>
      </c>
      <c r="H285" s="12" t="s">
        <v>13</v>
      </c>
      <c r="I285" s="6" t="s">
        <v>14</v>
      </c>
      <c r="J285" s="47" t="str">
        <f>_xlfn.DISPIMG("ID_E64DC7D3F6B2467AB3731B07CE1068A7",1)</f>
        <v>=DISPIMG("ID_E64DC7D3F6B2467AB3731B07CE1068A7",1)</v>
      </c>
    </row>
    <row r="286" s="2" customFormat="1" ht="57" spans="1:10">
      <c r="A286" s="6">
        <v>285</v>
      </c>
      <c r="B286" s="17" t="s">
        <v>24</v>
      </c>
      <c r="C286" s="20" t="s">
        <v>25</v>
      </c>
      <c r="D286" s="9">
        <v>1</v>
      </c>
      <c r="E286" s="9" t="s">
        <v>17</v>
      </c>
      <c r="F286" s="10">
        <v>12</v>
      </c>
      <c r="G286" s="11">
        <f t="shared" si="4"/>
        <v>12</v>
      </c>
      <c r="H286" s="12" t="s">
        <v>13</v>
      </c>
      <c r="I286" s="6" t="s">
        <v>14</v>
      </c>
      <c r="J286" s="47" t="str">
        <f>_xlfn.DISPIMG("ID_6288EB267C0641C79AF8EF53DADC78F1",1)</f>
        <v>=DISPIMG("ID_6288EB267C0641C79AF8EF53DADC78F1",1)</v>
      </c>
    </row>
    <row r="287" s="2" customFormat="1" ht="78.35" spans="1:10">
      <c r="A287" s="6">
        <v>286</v>
      </c>
      <c r="B287" s="7" t="s">
        <v>551</v>
      </c>
      <c r="C287" s="8" t="s">
        <v>552</v>
      </c>
      <c r="D287" s="18">
        <v>3</v>
      </c>
      <c r="E287" s="18" t="s">
        <v>12</v>
      </c>
      <c r="F287" s="19">
        <v>80</v>
      </c>
      <c r="G287" s="11">
        <f t="shared" si="4"/>
        <v>240</v>
      </c>
      <c r="H287" s="12" t="s">
        <v>13</v>
      </c>
      <c r="I287" s="6" t="s">
        <v>14</v>
      </c>
      <c r="J287" s="41" t="str">
        <f>_xlfn.DISPIMG("ID_418A82F10F7743C88E2AF4A2E143EF99",1)</f>
        <v>=DISPIMG("ID_418A82F10F7743C88E2AF4A2E143EF99",1)</v>
      </c>
    </row>
    <row r="288" s="2" customFormat="1" ht="56.4" spans="1:10">
      <c r="A288" s="6">
        <v>287</v>
      </c>
      <c r="B288" s="82" t="s">
        <v>553</v>
      </c>
      <c r="C288" s="82" t="s">
        <v>554</v>
      </c>
      <c r="D288" s="25">
        <v>24</v>
      </c>
      <c r="E288" s="6" t="s">
        <v>28</v>
      </c>
      <c r="F288" s="23">
        <v>26</v>
      </c>
      <c r="G288" s="11">
        <f t="shared" si="4"/>
        <v>624</v>
      </c>
      <c r="H288" s="12" t="s">
        <v>13</v>
      </c>
      <c r="I288" s="6" t="s">
        <v>14</v>
      </c>
      <c r="J288" s="82" t="str">
        <f>_xlfn.DISPIMG("ID_ABBF9619EC294524982F0E370CB71804",1)</f>
        <v>=DISPIMG("ID_ABBF9619EC294524982F0E370CB71804",1)</v>
      </c>
    </row>
    <row r="289" s="2" customFormat="1" ht="70.25" spans="1:10">
      <c r="A289" s="6">
        <v>288</v>
      </c>
      <c r="B289" s="7" t="s">
        <v>151</v>
      </c>
      <c r="C289" s="8" t="s">
        <v>555</v>
      </c>
      <c r="D289" s="65">
        <v>1</v>
      </c>
      <c r="E289" s="65" t="s">
        <v>12</v>
      </c>
      <c r="F289" s="10">
        <v>21</v>
      </c>
      <c r="G289" s="11">
        <f t="shared" si="4"/>
        <v>21</v>
      </c>
      <c r="H289" s="12" t="s">
        <v>13</v>
      </c>
      <c r="I289" s="6" t="s">
        <v>14</v>
      </c>
      <c r="J289" s="47" t="str">
        <f>_xlfn.DISPIMG("ID_16CCE2534F6D4347AFA3E329B71E05DA",1)</f>
        <v>=DISPIMG("ID_16CCE2534F6D4347AFA3E329B71E05DA",1)</v>
      </c>
    </row>
    <row r="290" s="2" customFormat="1" ht="72" spans="1:10">
      <c r="A290" s="6">
        <v>289</v>
      </c>
      <c r="B290" s="37" t="s">
        <v>480</v>
      </c>
      <c r="C290" s="44" t="s">
        <v>230</v>
      </c>
      <c r="D290" s="28">
        <v>2</v>
      </c>
      <c r="E290" s="29" t="s">
        <v>17</v>
      </c>
      <c r="F290" s="30">
        <v>11</v>
      </c>
      <c r="G290" s="11">
        <f t="shared" si="4"/>
        <v>22</v>
      </c>
      <c r="H290" s="12" t="s">
        <v>13</v>
      </c>
      <c r="I290" s="6" t="s">
        <v>14</v>
      </c>
      <c r="J290" s="26" t="str">
        <f>_xlfn.DISPIMG("ID_AF1C5A3C64EB448BA9658C7E78599584",1)</f>
        <v>=DISPIMG("ID_AF1C5A3C64EB448BA9658C7E78599584",1)</v>
      </c>
    </row>
    <row r="291" s="2" customFormat="1" ht="57" spans="1:10">
      <c r="A291" s="6">
        <v>290</v>
      </c>
      <c r="B291" s="17" t="s">
        <v>76</v>
      </c>
      <c r="C291" s="8" t="s">
        <v>556</v>
      </c>
      <c r="D291" s="18">
        <v>3</v>
      </c>
      <c r="E291" s="18" t="s">
        <v>17</v>
      </c>
      <c r="F291" s="19">
        <v>8</v>
      </c>
      <c r="G291" s="11">
        <f t="shared" si="4"/>
        <v>24</v>
      </c>
      <c r="H291" s="12" t="s">
        <v>13</v>
      </c>
      <c r="I291" s="6" t="s">
        <v>14</v>
      </c>
      <c r="J291" s="49" t="str">
        <f>_xlfn.DISPIMG("ID_8E082BA410B8460B87D039915C244DAA",1)</f>
        <v>=DISPIMG("ID_8E082BA410B8460B87D039915C244DAA",1)</v>
      </c>
    </row>
    <row r="292" s="2" customFormat="1" ht="42.3" spans="1:10">
      <c r="A292" s="6">
        <v>291</v>
      </c>
      <c r="B292" s="21" t="s">
        <v>557</v>
      </c>
      <c r="C292" s="21" t="s">
        <v>558</v>
      </c>
      <c r="D292" s="22">
        <v>90</v>
      </c>
      <c r="E292" s="6" t="s">
        <v>28</v>
      </c>
      <c r="F292" s="23">
        <v>63</v>
      </c>
      <c r="G292" s="11">
        <f t="shared" si="4"/>
        <v>5670</v>
      </c>
      <c r="H292" s="12" t="s">
        <v>13</v>
      </c>
      <c r="I292" s="6" t="s">
        <v>14</v>
      </c>
      <c r="J292" s="21" t="str">
        <f>_xlfn.DISPIMG("ID_6748171F29084051A120040406163708",1)</f>
        <v>=DISPIMG("ID_6748171F29084051A120040406163708",1)</v>
      </c>
    </row>
    <row r="293" s="2" customFormat="1" ht="55.3" spans="1:10">
      <c r="A293" s="6">
        <v>292</v>
      </c>
      <c r="B293" s="71" t="s">
        <v>559</v>
      </c>
      <c r="C293" s="36" t="s">
        <v>560</v>
      </c>
      <c r="D293" s="25">
        <v>18</v>
      </c>
      <c r="E293" s="6" t="s">
        <v>28</v>
      </c>
      <c r="F293" s="23">
        <v>102</v>
      </c>
      <c r="G293" s="11">
        <f t="shared" si="4"/>
        <v>1836</v>
      </c>
      <c r="H293" s="12" t="s">
        <v>13</v>
      </c>
      <c r="I293" s="6" t="s">
        <v>14</v>
      </c>
      <c r="J293" s="56" t="str">
        <f>_xlfn.DISPIMG("ID_59A04BBF95BC4B98B003ACBC72D7AA25",1)</f>
        <v>=DISPIMG("ID_59A04BBF95BC4B98B003ACBC72D7AA25",1)</v>
      </c>
    </row>
    <row r="294" s="2" customFormat="1" ht="60" spans="1:10">
      <c r="A294" s="6">
        <v>293</v>
      </c>
      <c r="B294" s="26" t="s">
        <v>561</v>
      </c>
      <c r="C294" s="44" t="s">
        <v>562</v>
      </c>
      <c r="D294" s="28">
        <v>2</v>
      </c>
      <c r="E294" s="29" t="s">
        <v>17</v>
      </c>
      <c r="F294" s="30">
        <v>11</v>
      </c>
      <c r="G294" s="11">
        <f t="shared" si="4"/>
        <v>22</v>
      </c>
      <c r="H294" s="12" t="s">
        <v>13</v>
      </c>
      <c r="I294" s="6" t="s">
        <v>14</v>
      </c>
      <c r="J294" s="26" t="str">
        <f>_xlfn.DISPIMG("ID_0AB55D87913E43308F90349DDBC38EA2",1)</f>
        <v>=DISPIMG("ID_0AB55D87913E43308F90349DDBC38EA2",1)</v>
      </c>
    </row>
    <row r="295" s="2" customFormat="1" ht="75.65" spans="1:10">
      <c r="A295" s="6">
        <v>294</v>
      </c>
      <c r="B295" s="7" t="s">
        <v>563</v>
      </c>
      <c r="C295" s="8" t="s">
        <v>564</v>
      </c>
      <c r="D295" s="18">
        <v>3</v>
      </c>
      <c r="E295" s="18" t="s">
        <v>12</v>
      </c>
      <c r="F295" s="19">
        <v>19</v>
      </c>
      <c r="G295" s="11">
        <f t="shared" si="4"/>
        <v>57</v>
      </c>
      <c r="H295" s="12" t="s">
        <v>13</v>
      </c>
      <c r="I295" s="6" t="s">
        <v>14</v>
      </c>
      <c r="J295" s="49" t="str">
        <f>_xlfn.DISPIMG("ID_F72CF3C89B084C93A0715C03B057E636",1)</f>
        <v>=DISPIMG("ID_F72CF3C89B084C93A0715C03B057E636",1)</v>
      </c>
    </row>
    <row r="296" s="2" customFormat="1" ht="65.45" spans="1:10">
      <c r="A296" s="6">
        <v>295</v>
      </c>
      <c r="B296" s="13" t="s">
        <v>565</v>
      </c>
      <c r="C296" s="14" t="s">
        <v>362</v>
      </c>
      <c r="D296" s="15">
        <v>3</v>
      </c>
      <c r="E296" s="15" t="s">
        <v>12</v>
      </c>
      <c r="F296" s="16">
        <v>12</v>
      </c>
      <c r="G296" s="11">
        <f t="shared" si="4"/>
        <v>36</v>
      </c>
      <c r="H296" s="12" t="s">
        <v>13</v>
      </c>
      <c r="I296" s="6" t="s">
        <v>14</v>
      </c>
      <c r="J296" s="48" t="str">
        <f>_xlfn.DISPIMG("ID_6EE6C5776BA94869B49DFE49F699821E",1)</f>
        <v>=DISPIMG("ID_6EE6C5776BA94869B49DFE49F699821E",1)</v>
      </c>
    </row>
    <row r="297" s="2" customFormat="1" ht="192.05" spans="1:10">
      <c r="A297" s="6">
        <v>296</v>
      </c>
      <c r="B297" s="38" t="s">
        <v>566</v>
      </c>
      <c r="C297" s="38" t="s">
        <v>567</v>
      </c>
      <c r="D297" s="25">
        <v>5</v>
      </c>
      <c r="E297" s="25" t="s">
        <v>12</v>
      </c>
      <c r="F297" s="25">
        <v>12</v>
      </c>
      <c r="G297" s="11">
        <f t="shared" si="4"/>
        <v>60</v>
      </c>
      <c r="H297" s="12" t="s">
        <v>13</v>
      </c>
      <c r="I297" s="6" t="s">
        <v>14</v>
      </c>
      <c r="J297" s="50" t="str">
        <f>_xlfn.DISPIMG("ID_E6202F6A3BB24A1784CAD7C869A607C7",1)</f>
        <v>=DISPIMG("ID_E6202F6A3BB24A1784CAD7C869A607C7",1)</v>
      </c>
    </row>
    <row r="298" s="2" customFormat="1" ht="79.25" spans="1:10">
      <c r="A298" s="6">
        <v>297</v>
      </c>
      <c r="B298" s="7" t="s">
        <v>568</v>
      </c>
      <c r="C298" s="8" t="s">
        <v>569</v>
      </c>
      <c r="D298" s="65">
        <v>1</v>
      </c>
      <c r="E298" s="65" t="s">
        <v>12</v>
      </c>
      <c r="F298" s="10">
        <v>382</v>
      </c>
      <c r="G298" s="11">
        <f t="shared" si="4"/>
        <v>382</v>
      </c>
      <c r="H298" s="12" t="s">
        <v>13</v>
      </c>
      <c r="I298" s="6" t="s">
        <v>14</v>
      </c>
      <c r="J298" s="54" t="str">
        <f>_xlfn.DISPIMG("ID_134D1E26250642CFAF0AAF1F7FF6C04C",1)</f>
        <v>=DISPIMG("ID_134D1E26250642CFAF0AAF1F7FF6C04C",1)</v>
      </c>
    </row>
    <row r="299" s="2" customFormat="1" ht="77.05" spans="1:10">
      <c r="A299" s="6">
        <v>298</v>
      </c>
      <c r="B299" s="7" t="s">
        <v>570</v>
      </c>
      <c r="C299" s="8" t="s">
        <v>571</v>
      </c>
      <c r="D299" s="9">
        <v>1</v>
      </c>
      <c r="E299" s="9" t="s">
        <v>17</v>
      </c>
      <c r="F299" s="10">
        <v>30</v>
      </c>
      <c r="G299" s="11">
        <f t="shared" si="4"/>
        <v>30</v>
      </c>
      <c r="H299" s="12" t="s">
        <v>13</v>
      </c>
      <c r="I299" s="6" t="s">
        <v>14</v>
      </c>
      <c r="J299" s="47" t="str">
        <f>_xlfn.DISPIMG("ID_5CC04F5ECA704621949DF6019C99B171",1)</f>
        <v>=DISPIMG("ID_5CC04F5ECA704621949DF6019C99B171",1)</v>
      </c>
    </row>
    <row r="300" s="2" customFormat="1" ht="160.1" spans="1:10">
      <c r="A300" s="6">
        <v>299</v>
      </c>
      <c r="B300" s="59" t="s">
        <v>572</v>
      </c>
      <c r="C300" s="38" t="s">
        <v>573</v>
      </c>
      <c r="D300" s="25">
        <v>5</v>
      </c>
      <c r="E300" s="25" t="s">
        <v>12</v>
      </c>
      <c r="F300" s="25">
        <v>158</v>
      </c>
      <c r="G300" s="11">
        <f t="shared" si="4"/>
        <v>790</v>
      </c>
      <c r="H300" s="12" t="s">
        <v>13</v>
      </c>
      <c r="I300" s="6" t="s">
        <v>14</v>
      </c>
      <c r="J300" s="50" t="str">
        <f>_xlfn.DISPIMG("ID_A72E97ED36514E73814423FB0A9D0ECA",1)</f>
        <v>=DISPIMG("ID_A72E97ED36514E73814423FB0A9D0ECA",1)</v>
      </c>
    </row>
    <row r="301" s="2" customFormat="1" ht="84" spans="1:10">
      <c r="A301" s="6">
        <v>300</v>
      </c>
      <c r="B301" s="24" t="s">
        <v>574</v>
      </c>
      <c r="C301" s="38" t="s">
        <v>575</v>
      </c>
      <c r="D301" s="25">
        <v>5</v>
      </c>
      <c r="E301" s="25" t="s">
        <v>12</v>
      </c>
      <c r="F301" s="25">
        <v>33</v>
      </c>
      <c r="G301" s="11">
        <f t="shared" si="4"/>
        <v>165</v>
      </c>
      <c r="H301" s="12" t="s">
        <v>13</v>
      </c>
      <c r="I301" s="6" t="s">
        <v>14</v>
      </c>
      <c r="J301" s="50" t="str">
        <f>_xlfn.DISPIMG("ID_D0DDCB2922F94BE2863CAE33E35C178E",1)</f>
        <v>=DISPIMG("ID_D0DDCB2922F94BE2863CAE33E35C178E",1)</v>
      </c>
    </row>
    <row r="302" s="2" customFormat="1" ht="72" spans="1:10">
      <c r="A302" s="6">
        <v>301</v>
      </c>
      <c r="B302" s="26" t="s">
        <v>576</v>
      </c>
      <c r="C302" s="44" t="s">
        <v>230</v>
      </c>
      <c r="D302" s="28">
        <v>2</v>
      </c>
      <c r="E302" s="29" t="s">
        <v>17</v>
      </c>
      <c r="F302" s="30">
        <v>11</v>
      </c>
      <c r="G302" s="11">
        <f t="shared" si="4"/>
        <v>22</v>
      </c>
      <c r="H302" s="12" t="s">
        <v>13</v>
      </c>
      <c r="I302" s="6" t="s">
        <v>14</v>
      </c>
      <c r="J302" s="26" t="str">
        <f>_xlfn.DISPIMG("ID_A30F10C1B49F451E927ED8FD556D52B1",1)</f>
        <v>=DISPIMG("ID_A30F10C1B49F451E927ED8FD556D52B1",1)</v>
      </c>
    </row>
    <row r="303" s="2" customFormat="1" ht="73.75" spans="1:10">
      <c r="A303" s="6">
        <v>302</v>
      </c>
      <c r="B303" s="7" t="s">
        <v>577</v>
      </c>
      <c r="C303" s="8" t="s">
        <v>578</v>
      </c>
      <c r="D303" s="9">
        <v>1</v>
      </c>
      <c r="E303" s="9" t="s">
        <v>12</v>
      </c>
      <c r="F303" s="10">
        <v>12</v>
      </c>
      <c r="G303" s="11">
        <f t="shared" si="4"/>
        <v>12</v>
      </c>
      <c r="H303" s="12" t="s">
        <v>13</v>
      </c>
      <c r="I303" s="6" t="s">
        <v>14</v>
      </c>
      <c r="J303" s="47" t="str">
        <f>_xlfn.DISPIMG("ID_AAEAB8CD19804F309A7B928671737C73",1)</f>
        <v>=DISPIMG("ID_AAEAB8CD19804F309A7B928671737C73",1)</v>
      </c>
    </row>
    <row r="304" s="2" customFormat="1" ht="73.9" spans="1:10">
      <c r="A304" s="6">
        <v>303</v>
      </c>
      <c r="B304" s="14" t="s">
        <v>579</v>
      </c>
      <c r="C304" s="14" t="s">
        <v>580</v>
      </c>
      <c r="D304" s="15">
        <v>3</v>
      </c>
      <c r="E304" s="15" t="s">
        <v>12</v>
      </c>
      <c r="F304" s="16">
        <v>24</v>
      </c>
      <c r="G304" s="11">
        <f t="shared" si="4"/>
        <v>72</v>
      </c>
      <c r="H304" s="12" t="s">
        <v>13</v>
      </c>
      <c r="I304" s="6" t="s">
        <v>14</v>
      </c>
      <c r="J304" s="48" t="str">
        <f>_xlfn.DISPIMG("ID_4100D255ADE847C8B2DA98C9A6A0AA1C",1)</f>
        <v>=DISPIMG("ID_4100D255ADE847C8B2DA98C9A6A0AA1C",1)</v>
      </c>
    </row>
    <row r="305" s="2" customFormat="1" ht="84" spans="1:10">
      <c r="A305" s="6">
        <v>304</v>
      </c>
      <c r="B305" s="13" t="s">
        <v>581</v>
      </c>
      <c r="C305" s="14" t="s">
        <v>582</v>
      </c>
      <c r="D305" s="15">
        <v>3</v>
      </c>
      <c r="E305" s="15" t="s">
        <v>12</v>
      </c>
      <c r="F305" s="16">
        <v>21</v>
      </c>
      <c r="G305" s="11">
        <f t="shared" si="4"/>
        <v>63</v>
      </c>
      <c r="H305" s="12" t="s">
        <v>13</v>
      </c>
      <c r="I305" s="6" t="s">
        <v>14</v>
      </c>
      <c r="J305" s="48" t="str">
        <f>_xlfn.DISPIMG("ID_EE801986C3294A428BD3EC0A7BC9D821",1)</f>
        <v>=DISPIMG("ID_EE801986C3294A428BD3EC0A7BC9D821",1)</v>
      </c>
    </row>
    <row r="306" s="2" customFormat="1" ht="138.5" spans="1:10">
      <c r="A306" s="6">
        <v>305</v>
      </c>
      <c r="B306" s="7" t="s">
        <v>583</v>
      </c>
      <c r="C306" s="41" t="s">
        <v>584</v>
      </c>
      <c r="D306" s="39">
        <v>1</v>
      </c>
      <c r="E306" s="39" t="s">
        <v>12</v>
      </c>
      <c r="F306" s="10">
        <v>5</v>
      </c>
      <c r="G306" s="11">
        <f t="shared" si="4"/>
        <v>5</v>
      </c>
      <c r="H306" s="12" t="s">
        <v>13</v>
      </c>
      <c r="I306" s="6" t="s">
        <v>14</v>
      </c>
      <c r="J306" s="47" t="str">
        <f>_xlfn.DISPIMG("ID_4B62509EE3EA482AB89A7DA5F007405F",1)</f>
        <v>=DISPIMG("ID_4B62509EE3EA482AB89A7DA5F007405F",1)</v>
      </c>
    </row>
    <row r="307" s="2" customFormat="1" ht="57.25" spans="1:10">
      <c r="A307" s="6">
        <v>306</v>
      </c>
      <c r="B307" s="85" t="s">
        <v>585</v>
      </c>
      <c r="C307" s="36" t="s">
        <v>586</v>
      </c>
      <c r="D307" s="25">
        <v>72</v>
      </c>
      <c r="E307" s="6" t="s">
        <v>28</v>
      </c>
      <c r="F307" s="23">
        <v>35</v>
      </c>
      <c r="G307" s="11">
        <f t="shared" si="4"/>
        <v>2520</v>
      </c>
      <c r="H307" s="12" t="s">
        <v>13</v>
      </c>
      <c r="I307" s="6" t="s">
        <v>14</v>
      </c>
      <c r="J307" s="88" t="str">
        <f>_xlfn.DISPIMG("ID_9BF73A9CF024447A93EB47D029AD6632",1)</f>
        <v>=DISPIMG("ID_9BF73A9CF024447A93EB47D029AD6632",1)</v>
      </c>
    </row>
    <row r="308" s="2" customFormat="1" ht="65.3" spans="1:10">
      <c r="A308" s="6">
        <v>307</v>
      </c>
      <c r="B308" s="39" t="s">
        <v>587</v>
      </c>
      <c r="C308" s="34" t="s">
        <v>588</v>
      </c>
      <c r="D308" s="18">
        <v>3</v>
      </c>
      <c r="E308" s="18" t="s">
        <v>12</v>
      </c>
      <c r="F308" s="19">
        <v>27</v>
      </c>
      <c r="G308" s="11">
        <f t="shared" si="4"/>
        <v>81</v>
      </c>
      <c r="H308" s="12" t="s">
        <v>13</v>
      </c>
      <c r="I308" s="6" t="s">
        <v>14</v>
      </c>
      <c r="J308" s="41" t="str">
        <f>_xlfn.DISPIMG("ID_E18D6420277C4E04BB4DF6B56879D64F",1)</f>
        <v>=DISPIMG("ID_E18D6420277C4E04BB4DF6B56879D64F",1)</v>
      </c>
    </row>
    <row r="309" s="2" customFormat="1" ht="80.1" spans="1:10">
      <c r="A309" s="6">
        <v>308</v>
      </c>
      <c r="B309" s="7" t="s">
        <v>163</v>
      </c>
      <c r="C309" s="60" t="s">
        <v>589</v>
      </c>
      <c r="D309" s="18">
        <v>3</v>
      </c>
      <c r="E309" s="18" t="s">
        <v>17</v>
      </c>
      <c r="F309" s="19">
        <v>17</v>
      </c>
      <c r="G309" s="11">
        <f t="shared" si="4"/>
        <v>51</v>
      </c>
      <c r="H309" s="12" t="s">
        <v>13</v>
      </c>
      <c r="I309" s="6" t="s">
        <v>14</v>
      </c>
      <c r="J309" s="49" t="str">
        <f>_xlfn.DISPIMG("ID_BA8714D90BA549929DB624E1B63C3E73",1)</f>
        <v>=DISPIMG("ID_BA8714D90BA549929DB624E1B63C3E73",1)</v>
      </c>
    </row>
    <row r="310" s="2" customFormat="1" ht="148.1" spans="1:10">
      <c r="A310" s="6">
        <v>309</v>
      </c>
      <c r="B310" s="7" t="s">
        <v>590</v>
      </c>
      <c r="C310" s="41" t="s">
        <v>318</v>
      </c>
      <c r="D310" s="18">
        <v>3</v>
      </c>
      <c r="E310" s="18" t="s">
        <v>12</v>
      </c>
      <c r="F310" s="19">
        <v>21</v>
      </c>
      <c r="G310" s="11">
        <f t="shared" si="4"/>
        <v>63</v>
      </c>
      <c r="H310" s="12" t="s">
        <v>13</v>
      </c>
      <c r="I310" s="6" t="s">
        <v>14</v>
      </c>
      <c r="J310" s="52" t="str">
        <f>_xlfn.DISPIMG("ID_2531AAEA9D7949BA8BBCB9237770B028",1)</f>
        <v>=DISPIMG("ID_2531AAEA9D7949BA8BBCB9237770B028",1)</v>
      </c>
    </row>
    <row r="311" s="2" customFormat="1" ht="182.65" spans="1:10">
      <c r="A311" s="6">
        <v>310</v>
      </c>
      <c r="B311" s="7" t="s">
        <v>591</v>
      </c>
      <c r="C311" s="8" t="s">
        <v>592</v>
      </c>
      <c r="D311" s="18">
        <v>3</v>
      </c>
      <c r="E311" s="18" t="s">
        <v>12</v>
      </c>
      <c r="F311" s="19">
        <v>50</v>
      </c>
      <c r="G311" s="11">
        <f t="shared" si="4"/>
        <v>150</v>
      </c>
      <c r="H311" s="12" t="s">
        <v>13</v>
      </c>
      <c r="I311" s="6" t="s">
        <v>14</v>
      </c>
      <c r="J311" s="51" t="str">
        <f>_xlfn.DISPIMG("ID_E1C66B9072AE4E1BB07FF10D9400A008",1)</f>
        <v>=DISPIMG("ID_E1C66B9072AE4E1BB07FF10D9400A008",1)</v>
      </c>
    </row>
    <row r="312" s="2" customFormat="1" ht="41.15" spans="1:10">
      <c r="A312" s="6">
        <v>311</v>
      </c>
      <c r="B312" s="82" t="s">
        <v>593</v>
      </c>
      <c r="C312" s="82" t="s">
        <v>594</v>
      </c>
      <c r="D312" s="25">
        <v>36</v>
      </c>
      <c r="E312" s="6" t="s">
        <v>28</v>
      </c>
      <c r="F312" s="23">
        <v>68</v>
      </c>
      <c r="G312" s="11">
        <f t="shared" si="4"/>
        <v>2448</v>
      </c>
      <c r="H312" s="12" t="s">
        <v>13</v>
      </c>
      <c r="I312" s="6" t="s">
        <v>14</v>
      </c>
      <c r="J312" s="82" t="str">
        <f>_xlfn.DISPIMG("ID_9F1749A2ACCD4A5DA88CE47E7A970340",1)</f>
        <v>=DISPIMG("ID_9F1749A2ACCD4A5DA88CE47E7A970340",1)</v>
      </c>
    </row>
    <row r="313" s="2" customFormat="1" ht="59.25" spans="1:10">
      <c r="A313" s="6">
        <v>312</v>
      </c>
      <c r="B313" s="13" t="s">
        <v>595</v>
      </c>
      <c r="C313" s="14" t="s">
        <v>596</v>
      </c>
      <c r="D313" s="15">
        <v>3</v>
      </c>
      <c r="E313" s="15" t="s">
        <v>12</v>
      </c>
      <c r="F313" s="16">
        <v>51</v>
      </c>
      <c r="G313" s="11">
        <f t="shared" si="4"/>
        <v>153</v>
      </c>
      <c r="H313" s="12" t="s">
        <v>13</v>
      </c>
      <c r="I313" s="6" t="s">
        <v>14</v>
      </c>
      <c r="J313" s="48" t="str">
        <f>_xlfn.DISPIMG("ID_A8322AA755F34FC692519E1DF09F1910",1)</f>
        <v>=DISPIMG("ID_A8322AA755F34FC692519E1DF09F1910",1)</v>
      </c>
    </row>
    <row r="314" s="2" customFormat="1" ht="58.25" spans="1:10">
      <c r="A314" s="6">
        <v>313</v>
      </c>
      <c r="B314" s="13" t="s">
        <v>597</v>
      </c>
      <c r="C314" s="14" t="s">
        <v>598</v>
      </c>
      <c r="D314" s="15">
        <v>3</v>
      </c>
      <c r="E314" s="15" t="s">
        <v>12</v>
      </c>
      <c r="F314" s="16">
        <v>22</v>
      </c>
      <c r="G314" s="11">
        <f t="shared" si="4"/>
        <v>66</v>
      </c>
      <c r="H314" s="12" t="s">
        <v>13</v>
      </c>
      <c r="I314" s="6" t="s">
        <v>14</v>
      </c>
      <c r="J314" s="48" t="str">
        <f>_xlfn.DISPIMG("ID_360D68A7EDF3483381BF3B41540D8FB7",1)</f>
        <v>=DISPIMG("ID_360D68A7EDF3483381BF3B41540D8FB7",1)</v>
      </c>
    </row>
    <row r="315" s="2" customFormat="1" ht="136.45" spans="1:10">
      <c r="A315" s="6">
        <v>314</v>
      </c>
      <c r="B315" s="7" t="s">
        <v>599</v>
      </c>
      <c r="C315" s="8" t="s">
        <v>600</v>
      </c>
      <c r="D315" s="18">
        <v>3</v>
      </c>
      <c r="E315" s="18" t="s">
        <v>12</v>
      </c>
      <c r="F315" s="19">
        <v>47</v>
      </c>
      <c r="G315" s="11">
        <f t="shared" si="4"/>
        <v>141</v>
      </c>
      <c r="H315" s="12" t="s">
        <v>13</v>
      </c>
      <c r="I315" s="6" t="s">
        <v>14</v>
      </c>
      <c r="J315" s="52" t="str">
        <f>_xlfn.DISPIMG("ID_37CF743940934A00B634CD0A61D349FE",1)</f>
        <v>=DISPIMG("ID_37CF743940934A00B634CD0A61D349FE",1)</v>
      </c>
    </row>
    <row r="316" s="2" customFormat="1" ht="53.1" spans="1:10">
      <c r="A316" s="6">
        <v>315</v>
      </c>
      <c r="B316" s="7" t="s">
        <v>601</v>
      </c>
      <c r="C316" s="8" t="s">
        <v>602</v>
      </c>
      <c r="D316" s="18">
        <v>3</v>
      </c>
      <c r="E316" s="18" t="s">
        <v>67</v>
      </c>
      <c r="F316" s="19">
        <v>12</v>
      </c>
      <c r="G316" s="11">
        <f t="shared" si="4"/>
        <v>36</v>
      </c>
      <c r="H316" s="12" t="s">
        <v>13</v>
      </c>
      <c r="I316" s="6" t="s">
        <v>14</v>
      </c>
      <c r="J316" s="41" t="str">
        <f>_xlfn.DISPIMG("ID_52622AE8E305403787F8976ADF712438",1)</f>
        <v>=DISPIMG("ID_52622AE8E305403787F8976ADF712438",1)</v>
      </c>
    </row>
    <row r="317" s="2" customFormat="1" ht="60" spans="1:10">
      <c r="A317" s="6">
        <v>316</v>
      </c>
      <c r="B317" s="13" t="s">
        <v>603</v>
      </c>
      <c r="C317" s="14" t="s">
        <v>604</v>
      </c>
      <c r="D317" s="25">
        <v>3</v>
      </c>
      <c r="E317" s="25" t="s">
        <v>17</v>
      </c>
      <c r="F317" s="43">
        <v>34</v>
      </c>
      <c r="G317" s="11">
        <f t="shared" si="4"/>
        <v>102</v>
      </c>
      <c r="H317" s="12" t="s">
        <v>13</v>
      </c>
      <c r="I317" s="6" t="s">
        <v>14</v>
      </c>
      <c r="J317" s="57" t="str">
        <f>_xlfn.DISPIMG("ID_278CCD80FDF34C5B931EDD2E75A54B23",1)</f>
        <v>=DISPIMG("ID_278CCD80FDF34C5B931EDD2E75A54B23",1)</v>
      </c>
    </row>
    <row r="318" s="2" customFormat="1" ht="56.65" spans="1:10">
      <c r="A318" s="6">
        <v>317</v>
      </c>
      <c r="B318" s="36" t="s">
        <v>605</v>
      </c>
      <c r="C318" s="86" t="s">
        <v>606</v>
      </c>
      <c r="D318" s="25">
        <v>36</v>
      </c>
      <c r="E318" s="6" t="s">
        <v>28</v>
      </c>
      <c r="F318" s="23">
        <v>46</v>
      </c>
      <c r="G318" s="11">
        <f t="shared" si="4"/>
        <v>1656</v>
      </c>
      <c r="H318" s="12" t="s">
        <v>13</v>
      </c>
      <c r="I318" s="6" t="s">
        <v>14</v>
      </c>
      <c r="J318" s="53" t="str">
        <f>_xlfn.DISPIMG("ID_CB43B26044EE4AAD9B5DA13273705119",1)</f>
        <v>=DISPIMG("ID_CB43B26044EE4AAD9B5DA13273705119",1)</v>
      </c>
    </row>
    <row r="319" s="2" customFormat="1" ht="56.1" spans="1:10">
      <c r="A319" s="6">
        <v>318</v>
      </c>
      <c r="B319" s="87" t="s">
        <v>607</v>
      </c>
      <c r="C319" s="58" t="s">
        <v>608</v>
      </c>
      <c r="D319" s="18">
        <v>3</v>
      </c>
      <c r="E319" s="18" t="s">
        <v>12</v>
      </c>
      <c r="F319" s="19">
        <v>21</v>
      </c>
      <c r="G319" s="11">
        <f t="shared" si="4"/>
        <v>63</v>
      </c>
      <c r="H319" s="12" t="s">
        <v>13</v>
      </c>
      <c r="I319" s="6" t="s">
        <v>14</v>
      </c>
      <c r="J319" s="41" t="str">
        <f>_xlfn.DISPIMG("ID_C41DFEE3F8E041088AE15CC4CA42BAA3",1)</f>
        <v>=DISPIMG("ID_C41DFEE3F8E041088AE15CC4CA42BAA3",1)</v>
      </c>
    </row>
    <row r="320" s="2" customFormat="1" ht="126" spans="1:10">
      <c r="A320" s="6">
        <v>319</v>
      </c>
      <c r="B320" s="13" t="s">
        <v>609</v>
      </c>
      <c r="C320" s="42" t="s">
        <v>610</v>
      </c>
      <c r="D320" s="25">
        <v>3</v>
      </c>
      <c r="E320" s="25" t="s">
        <v>17</v>
      </c>
      <c r="F320" s="43">
        <v>34</v>
      </c>
      <c r="G320" s="11">
        <f t="shared" si="4"/>
        <v>102</v>
      </c>
      <c r="H320" s="12" t="s">
        <v>13</v>
      </c>
      <c r="I320" s="6" t="s">
        <v>14</v>
      </c>
      <c r="J320" s="57" t="str">
        <f>_xlfn.DISPIMG("ID_1CB63B93F40E420FA2EF3E25CB997480",1)</f>
        <v>=DISPIMG("ID_1CB63B93F40E420FA2EF3E25CB997480",1)</v>
      </c>
    </row>
    <row r="321" s="2" customFormat="1" ht="57" spans="1:10">
      <c r="A321" s="6">
        <v>320</v>
      </c>
      <c r="B321" s="7" t="s">
        <v>611</v>
      </c>
      <c r="C321" s="8" t="s">
        <v>612</v>
      </c>
      <c r="D321" s="9">
        <v>1</v>
      </c>
      <c r="E321" s="9" t="s">
        <v>12</v>
      </c>
      <c r="F321" s="10">
        <v>17</v>
      </c>
      <c r="G321" s="11">
        <f t="shared" si="4"/>
        <v>17</v>
      </c>
      <c r="H321" s="12" t="s">
        <v>13</v>
      </c>
      <c r="I321" s="6" t="s">
        <v>14</v>
      </c>
      <c r="J321" s="47" t="str">
        <f>_xlfn.DISPIMG("ID_D123F0A4257547EE806190BD4D64444D",1)</f>
        <v>=DISPIMG("ID_D123F0A4257547EE806190BD4D64444D",1)</v>
      </c>
    </row>
    <row r="322" s="2" customFormat="1" ht="72" spans="1:10">
      <c r="A322" s="6">
        <v>321</v>
      </c>
      <c r="B322" s="26" t="s">
        <v>613</v>
      </c>
      <c r="C322" s="44" t="s">
        <v>230</v>
      </c>
      <c r="D322" s="28">
        <v>2</v>
      </c>
      <c r="E322" s="29" t="s">
        <v>17</v>
      </c>
      <c r="F322" s="30">
        <v>11</v>
      </c>
      <c r="G322" s="11">
        <f t="shared" ref="G322:G385" si="5">F322*D322</f>
        <v>22</v>
      </c>
      <c r="H322" s="12" t="s">
        <v>13</v>
      </c>
      <c r="I322" s="6" t="s">
        <v>14</v>
      </c>
      <c r="J322" s="26" t="str">
        <f>_xlfn.DISPIMG("ID_A8082C2729A74D5FB3830410A05CCF9B",1)</f>
        <v>=DISPIMG("ID_A8082C2729A74D5FB3830410A05CCF9B",1)</v>
      </c>
    </row>
    <row r="323" s="2" customFormat="1" ht="72" spans="1:10">
      <c r="A323" s="6">
        <v>322</v>
      </c>
      <c r="B323" s="26" t="s">
        <v>614</v>
      </c>
      <c r="C323" s="44" t="s">
        <v>230</v>
      </c>
      <c r="D323" s="28">
        <v>2</v>
      </c>
      <c r="E323" s="29" t="s">
        <v>17</v>
      </c>
      <c r="F323" s="30">
        <v>11</v>
      </c>
      <c r="G323" s="11">
        <f t="shared" si="5"/>
        <v>22</v>
      </c>
      <c r="H323" s="12" t="s">
        <v>13</v>
      </c>
      <c r="I323" s="6" t="s">
        <v>14</v>
      </c>
      <c r="J323" s="26" t="str">
        <f>_xlfn.DISPIMG("ID_267456B9E49347F5ABC9D893D492C2D9",1)</f>
        <v>=DISPIMG("ID_267456B9E49347F5ABC9D893D492C2D9",1)</v>
      </c>
    </row>
    <row r="324" s="2" customFormat="1" ht="42.45" spans="1:10">
      <c r="A324" s="6">
        <v>323</v>
      </c>
      <c r="B324" s="21" t="s">
        <v>615</v>
      </c>
      <c r="C324" s="36" t="s">
        <v>616</v>
      </c>
      <c r="D324" s="25">
        <v>36</v>
      </c>
      <c r="E324" s="6" t="s">
        <v>28</v>
      </c>
      <c r="F324" s="23">
        <v>59</v>
      </c>
      <c r="G324" s="11">
        <f t="shared" si="5"/>
        <v>2124</v>
      </c>
      <c r="H324" s="12" t="s">
        <v>13</v>
      </c>
      <c r="I324" s="6" t="s">
        <v>14</v>
      </c>
      <c r="J324" s="56" t="str">
        <f>_xlfn.DISPIMG("ID_55657E9185F147D89A2CFBE4AC2718FD",1)</f>
        <v>=DISPIMG("ID_55657E9185F147D89A2CFBE4AC2718FD",1)</v>
      </c>
    </row>
    <row r="325" s="2" customFormat="1" ht="73.25" spans="1:10">
      <c r="A325" s="6">
        <v>324</v>
      </c>
      <c r="B325" s="64" t="s">
        <v>617</v>
      </c>
      <c r="C325" s="34" t="s">
        <v>618</v>
      </c>
      <c r="D325" s="18">
        <v>3</v>
      </c>
      <c r="E325" s="18" t="s">
        <v>67</v>
      </c>
      <c r="F325" s="19">
        <v>30</v>
      </c>
      <c r="G325" s="11">
        <f t="shared" si="5"/>
        <v>90</v>
      </c>
      <c r="H325" s="12" t="s">
        <v>13</v>
      </c>
      <c r="I325" s="6" t="s">
        <v>14</v>
      </c>
      <c r="J325" s="41" t="str">
        <f>_xlfn.DISPIMG("ID_EB5586FC4F6147DEBA5BF7000DB811A7",1)</f>
        <v>=DISPIMG("ID_EB5586FC4F6147DEBA5BF7000DB811A7",1)</v>
      </c>
    </row>
    <row r="326" s="2" customFormat="1" ht="60.95" spans="1:10">
      <c r="A326" s="6">
        <v>325</v>
      </c>
      <c r="B326" s="39" t="s">
        <v>619</v>
      </c>
      <c r="C326" s="58" t="s">
        <v>620</v>
      </c>
      <c r="D326" s="18">
        <v>3</v>
      </c>
      <c r="E326" s="18" t="s">
        <v>12</v>
      </c>
      <c r="F326" s="19">
        <v>21</v>
      </c>
      <c r="G326" s="11">
        <f t="shared" si="5"/>
        <v>63</v>
      </c>
      <c r="H326" s="12" t="s">
        <v>13</v>
      </c>
      <c r="I326" s="6" t="s">
        <v>14</v>
      </c>
      <c r="J326" s="41" t="str">
        <f>_xlfn.DISPIMG("ID_6F2D9EEF140140FEABDCA69E0CA0558B",1)</f>
        <v>=DISPIMG("ID_6F2D9EEF140140FEABDCA69E0CA0558B",1)</v>
      </c>
    </row>
    <row r="327" s="2" customFormat="1" ht="113.3" spans="1:10">
      <c r="A327" s="6">
        <v>326</v>
      </c>
      <c r="B327" s="59" t="s">
        <v>621</v>
      </c>
      <c r="C327" s="38" t="s">
        <v>622</v>
      </c>
      <c r="D327" s="25">
        <v>10</v>
      </c>
      <c r="E327" s="25" t="s">
        <v>17</v>
      </c>
      <c r="F327" s="25">
        <v>13</v>
      </c>
      <c r="G327" s="11">
        <f t="shared" si="5"/>
        <v>130</v>
      </c>
      <c r="H327" s="12" t="s">
        <v>13</v>
      </c>
      <c r="I327" s="6" t="s">
        <v>14</v>
      </c>
      <c r="J327" s="50" t="str">
        <f>_xlfn.DISPIMG("ID_BDF428A7E36A4F4BA57E3496DE255F94",1)</f>
        <v>=DISPIMG("ID_BDF428A7E36A4F4BA57E3496DE255F94",1)</v>
      </c>
    </row>
    <row r="328" s="2" customFormat="1" ht="68.9" spans="1:10">
      <c r="A328" s="6">
        <v>327</v>
      </c>
      <c r="B328" s="13" t="s">
        <v>623</v>
      </c>
      <c r="C328" s="14" t="s">
        <v>624</v>
      </c>
      <c r="D328" s="15">
        <v>3</v>
      </c>
      <c r="E328" s="15" t="s">
        <v>12</v>
      </c>
      <c r="F328" s="16">
        <v>15</v>
      </c>
      <c r="G328" s="11">
        <f t="shared" si="5"/>
        <v>45</v>
      </c>
      <c r="H328" s="12" t="s">
        <v>13</v>
      </c>
      <c r="I328" s="6" t="s">
        <v>14</v>
      </c>
      <c r="J328" s="48" t="str">
        <f>_xlfn.DISPIMG("ID_ECAC999D00BA491A96E3C1F6BD0FF02B",1)</f>
        <v>=DISPIMG("ID_ECAC999D00BA491A96E3C1F6BD0FF02B",1)</v>
      </c>
    </row>
    <row r="329" s="2" customFormat="1" ht="61.9" spans="1:10">
      <c r="A329" s="6">
        <v>328</v>
      </c>
      <c r="B329" s="7" t="s">
        <v>70</v>
      </c>
      <c r="C329" s="8" t="s">
        <v>625</v>
      </c>
      <c r="D329" s="18">
        <v>3</v>
      </c>
      <c r="E329" s="18" t="s">
        <v>12</v>
      </c>
      <c r="F329" s="19">
        <v>45</v>
      </c>
      <c r="G329" s="11">
        <f t="shared" si="5"/>
        <v>135</v>
      </c>
      <c r="H329" s="12" t="s">
        <v>13</v>
      </c>
      <c r="I329" s="6" t="s">
        <v>14</v>
      </c>
      <c r="J329" s="41" t="str">
        <f>_xlfn.DISPIMG("ID_E32AC6BA081A40C389A46017514CDE18",1)</f>
        <v>=DISPIMG("ID_E32AC6BA081A40C389A46017514CDE18",1)</v>
      </c>
    </row>
    <row r="330" s="2" customFormat="1" ht="67.35" spans="1:10">
      <c r="A330" s="6">
        <v>329</v>
      </c>
      <c r="B330" s="14" t="s">
        <v>626</v>
      </c>
      <c r="C330" s="14" t="s">
        <v>627</v>
      </c>
      <c r="D330" s="15">
        <v>6</v>
      </c>
      <c r="E330" s="15" t="s">
        <v>17</v>
      </c>
      <c r="F330" s="16">
        <v>49</v>
      </c>
      <c r="G330" s="11">
        <f t="shared" si="5"/>
        <v>294</v>
      </c>
      <c r="H330" s="12" t="s">
        <v>13</v>
      </c>
      <c r="I330" s="6" t="s">
        <v>14</v>
      </c>
      <c r="J330" s="55" t="str">
        <f>_xlfn.DISPIMG("ID_E95D955283F54DF6AEF49FDBC33389CF",1)</f>
        <v>=DISPIMG("ID_E95D955283F54DF6AEF49FDBC33389CF",1)</v>
      </c>
    </row>
    <row r="331" s="2" customFormat="1" ht="72" spans="1:10">
      <c r="A331" s="6">
        <v>330</v>
      </c>
      <c r="B331" s="37" t="s">
        <v>628</v>
      </c>
      <c r="C331" s="44" t="s">
        <v>230</v>
      </c>
      <c r="D331" s="28">
        <v>2</v>
      </c>
      <c r="E331" s="29" t="s">
        <v>17</v>
      </c>
      <c r="F331" s="30">
        <v>17</v>
      </c>
      <c r="G331" s="11">
        <f t="shared" si="5"/>
        <v>34</v>
      </c>
      <c r="H331" s="12" t="s">
        <v>13</v>
      </c>
      <c r="I331" s="6" t="s">
        <v>14</v>
      </c>
      <c r="J331" s="26" t="str">
        <f>_xlfn.DISPIMG("ID_1AC8D34C1FC94D93BF0D750D83F531DC",1)</f>
        <v>=DISPIMG("ID_1AC8D34C1FC94D93BF0D750D83F531DC",1)</v>
      </c>
    </row>
    <row r="332" s="2" customFormat="1" ht="57.7" spans="1:10">
      <c r="A332" s="6">
        <v>331</v>
      </c>
      <c r="B332" s="21" t="s">
        <v>629</v>
      </c>
      <c r="C332" s="36" t="s">
        <v>630</v>
      </c>
      <c r="D332" s="25">
        <v>180</v>
      </c>
      <c r="E332" s="6" t="s">
        <v>28</v>
      </c>
      <c r="F332" s="23">
        <v>35</v>
      </c>
      <c r="G332" s="11">
        <f t="shared" si="5"/>
        <v>6300</v>
      </c>
      <c r="H332" s="12" t="s">
        <v>13</v>
      </c>
      <c r="I332" s="6" t="s">
        <v>14</v>
      </c>
      <c r="J332" s="88" t="str">
        <f>_xlfn.DISPIMG("ID_332205656E9E49A0A18EDB8E4A496F17",1)</f>
        <v>=DISPIMG("ID_332205656E9E49A0A18EDB8E4A496F17",1)</v>
      </c>
    </row>
    <row r="333" s="2" customFormat="1" ht="40.3" spans="1:10">
      <c r="A333" s="6">
        <v>332</v>
      </c>
      <c r="B333" s="71" t="s">
        <v>631</v>
      </c>
      <c r="C333" s="36" t="s">
        <v>632</v>
      </c>
      <c r="D333" s="25">
        <v>24</v>
      </c>
      <c r="E333" s="6" t="s">
        <v>28</v>
      </c>
      <c r="F333" s="23">
        <v>178</v>
      </c>
      <c r="G333" s="11">
        <f t="shared" si="5"/>
        <v>4272</v>
      </c>
      <c r="H333" s="12" t="s">
        <v>13</v>
      </c>
      <c r="I333" s="6" t="s">
        <v>14</v>
      </c>
      <c r="J333" s="56" t="str">
        <f>_xlfn.DISPIMG("ID_25D7CF1F495249CE932D8E7290A2C446",1)</f>
        <v>=DISPIMG("ID_25D7CF1F495249CE932D8E7290A2C446",1)</v>
      </c>
    </row>
    <row r="334" s="2" customFormat="1" ht="46.5" spans="1:10">
      <c r="A334" s="6">
        <v>333</v>
      </c>
      <c r="B334" s="78" t="s">
        <v>633</v>
      </c>
      <c r="C334" s="89" t="s">
        <v>634</v>
      </c>
      <c r="D334" s="25">
        <v>36</v>
      </c>
      <c r="E334" s="6" t="s">
        <v>28</v>
      </c>
      <c r="F334" s="23">
        <v>59</v>
      </c>
      <c r="G334" s="11">
        <f t="shared" si="5"/>
        <v>2124</v>
      </c>
      <c r="H334" s="12" t="s">
        <v>13</v>
      </c>
      <c r="I334" s="6" t="s">
        <v>14</v>
      </c>
      <c r="J334" s="78" t="str">
        <f>_xlfn.DISPIMG("ID_2B886A1D2D314AA8924560C323A74ADB",1)</f>
        <v>=DISPIMG("ID_2B886A1D2D314AA8924560C323A74ADB",1)</v>
      </c>
    </row>
    <row r="335" s="2" customFormat="1" ht="72" spans="1:10">
      <c r="A335" s="6">
        <v>334</v>
      </c>
      <c r="B335" s="38" t="s">
        <v>635</v>
      </c>
      <c r="C335" s="38" t="s">
        <v>636</v>
      </c>
      <c r="D335" s="25">
        <v>5</v>
      </c>
      <c r="E335" s="25" t="s">
        <v>12</v>
      </c>
      <c r="F335" s="25">
        <v>98</v>
      </c>
      <c r="G335" s="11">
        <f t="shared" si="5"/>
        <v>490</v>
      </c>
      <c r="H335" s="12" t="s">
        <v>13</v>
      </c>
      <c r="I335" s="6" t="s">
        <v>14</v>
      </c>
      <c r="J335" s="50" t="str">
        <f>_xlfn.DISPIMG("ID_0DC3C3FC9F784ACC8AF126E2ED217878",1)</f>
        <v>=DISPIMG("ID_0DC3C3FC9F784ACC8AF126E2ED217878",1)</v>
      </c>
    </row>
    <row r="336" s="2" customFormat="1" ht="54.65" spans="1:10">
      <c r="A336" s="6">
        <v>335</v>
      </c>
      <c r="B336" s="13" t="s">
        <v>637</v>
      </c>
      <c r="C336" s="14" t="s">
        <v>638</v>
      </c>
      <c r="D336" s="15">
        <v>3</v>
      </c>
      <c r="E336" s="15" t="s">
        <v>12</v>
      </c>
      <c r="F336" s="16">
        <v>22</v>
      </c>
      <c r="G336" s="11">
        <f t="shared" si="5"/>
        <v>66</v>
      </c>
      <c r="H336" s="12" t="s">
        <v>13</v>
      </c>
      <c r="I336" s="6" t="s">
        <v>14</v>
      </c>
      <c r="J336" s="48" t="str">
        <f>_xlfn.DISPIMG("ID_49C87F8E74634135B3E1CA74BD436E10",1)</f>
        <v>=DISPIMG("ID_49C87F8E74634135B3E1CA74BD436E10",1)</v>
      </c>
    </row>
    <row r="337" s="2" customFormat="1" ht="51.15" spans="1:10">
      <c r="A337" s="6">
        <v>336</v>
      </c>
      <c r="B337" s="71" t="s">
        <v>639</v>
      </c>
      <c r="C337" s="36" t="s">
        <v>640</v>
      </c>
      <c r="D337" s="25">
        <v>24</v>
      </c>
      <c r="E337" s="6" t="s">
        <v>28</v>
      </c>
      <c r="F337" s="23">
        <v>131</v>
      </c>
      <c r="G337" s="11">
        <f t="shared" si="5"/>
        <v>3144</v>
      </c>
      <c r="H337" s="12" t="s">
        <v>13</v>
      </c>
      <c r="I337" s="6" t="s">
        <v>14</v>
      </c>
      <c r="J337" s="56" t="str">
        <f>_xlfn.DISPIMG("ID_06F75249802A43B99084DE26692BEB1A",1)</f>
        <v>=DISPIMG("ID_06F75249802A43B99084DE26692BEB1A",1)</v>
      </c>
    </row>
    <row r="338" s="2" customFormat="1" ht="72" spans="1:10">
      <c r="A338" s="6">
        <v>337</v>
      </c>
      <c r="B338" s="79" t="s">
        <v>181</v>
      </c>
      <c r="C338" s="27" t="s">
        <v>228</v>
      </c>
      <c r="D338" s="28">
        <v>6</v>
      </c>
      <c r="E338" s="29" t="s">
        <v>17</v>
      </c>
      <c r="F338" s="30">
        <v>45</v>
      </c>
      <c r="G338" s="11">
        <f t="shared" si="5"/>
        <v>270</v>
      </c>
      <c r="H338" s="12" t="s">
        <v>13</v>
      </c>
      <c r="I338" s="6" t="s">
        <v>14</v>
      </c>
      <c r="J338" s="26" t="str">
        <f>_xlfn.DISPIMG("ID_D66D2CE8828E46BEAC402B450D38F70B",1)</f>
        <v>=DISPIMG("ID_D66D2CE8828E46BEAC402B450D38F70B",1)</v>
      </c>
    </row>
    <row r="339" s="2" customFormat="1" ht="46.7" spans="1:10">
      <c r="A339" s="6">
        <v>338</v>
      </c>
      <c r="B339" s="7" t="s">
        <v>641</v>
      </c>
      <c r="C339" s="8" t="s">
        <v>642</v>
      </c>
      <c r="D339" s="18">
        <v>3</v>
      </c>
      <c r="E339" s="18" t="s">
        <v>17</v>
      </c>
      <c r="F339" s="19">
        <v>8</v>
      </c>
      <c r="G339" s="11">
        <f t="shared" si="5"/>
        <v>24</v>
      </c>
      <c r="H339" s="12" t="s">
        <v>13</v>
      </c>
      <c r="I339" s="6" t="s">
        <v>14</v>
      </c>
      <c r="J339" s="41" t="str">
        <f>_xlfn.DISPIMG("ID_FA1EEB6BBEAA4B598FC39915C2011E5D",1)</f>
        <v>=DISPIMG("ID_FA1EEB6BBEAA4B598FC39915C2011E5D",1)</v>
      </c>
    </row>
    <row r="340" s="2" customFormat="1" ht="57" spans="1:10">
      <c r="A340" s="6">
        <v>339</v>
      </c>
      <c r="B340" s="64" t="s">
        <v>643</v>
      </c>
      <c r="C340" s="60" t="s">
        <v>644</v>
      </c>
      <c r="D340" s="18">
        <v>3</v>
      </c>
      <c r="E340" s="18" t="s">
        <v>17</v>
      </c>
      <c r="F340" s="19">
        <v>12</v>
      </c>
      <c r="G340" s="11">
        <f t="shared" si="5"/>
        <v>36</v>
      </c>
      <c r="H340" s="12" t="s">
        <v>13</v>
      </c>
      <c r="I340" s="6" t="s">
        <v>14</v>
      </c>
      <c r="J340" s="49" t="str">
        <f>_xlfn.DISPIMG("ID_F50E462CDBF84418BB0CDE825B9EB61E",1)</f>
        <v>=DISPIMG("ID_F50E462CDBF84418BB0CDE825B9EB61E",1)</v>
      </c>
    </row>
    <row r="341" s="2" customFormat="1" ht="125.8" spans="1:10">
      <c r="A341" s="6">
        <v>340</v>
      </c>
      <c r="B341" s="7" t="s">
        <v>645</v>
      </c>
      <c r="C341" s="41" t="s">
        <v>646</v>
      </c>
      <c r="D341" s="39">
        <v>1</v>
      </c>
      <c r="E341" s="39" t="s">
        <v>12</v>
      </c>
      <c r="F341" s="10">
        <v>22</v>
      </c>
      <c r="G341" s="11">
        <f t="shared" si="5"/>
        <v>22</v>
      </c>
      <c r="H341" s="12" t="s">
        <v>13</v>
      </c>
      <c r="I341" s="6" t="s">
        <v>14</v>
      </c>
      <c r="J341" s="47" t="str">
        <f>_xlfn.DISPIMG("ID_FEC84ACD4FC54936875BBA42F02FE52D",1)</f>
        <v>=DISPIMG("ID_FEC84ACD4FC54936875BBA42F02FE52D",1)</v>
      </c>
    </row>
    <row r="342" s="2" customFormat="1" ht="72.8" spans="1:10">
      <c r="A342" s="6">
        <v>341</v>
      </c>
      <c r="B342" s="7" t="s">
        <v>647</v>
      </c>
      <c r="C342" s="34" t="s">
        <v>648</v>
      </c>
      <c r="D342" s="18">
        <v>6</v>
      </c>
      <c r="E342" s="18" t="s">
        <v>12</v>
      </c>
      <c r="F342" s="19">
        <v>70</v>
      </c>
      <c r="G342" s="11">
        <f t="shared" si="5"/>
        <v>420</v>
      </c>
      <c r="H342" s="12" t="s">
        <v>13</v>
      </c>
      <c r="I342" s="6" t="s">
        <v>14</v>
      </c>
      <c r="J342" s="41" t="str">
        <f>_xlfn.DISPIMG("ID_56EF835CD51A4B94B4C8CA45B3EF7104",1)</f>
        <v>=DISPIMG("ID_56EF835CD51A4B94B4C8CA45B3EF7104",1)</v>
      </c>
    </row>
    <row r="343" s="2" customFormat="1" ht="73.75" spans="1:10">
      <c r="A343" s="6">
        <v>342</v>
      </c>
      <c r="B343" s="7" t="s">
        <v>649</v>
      </c>
      <c r="C343" s="8" t="s">
        <v>650</v>
      </c>
      <c r="D343" s="9">
        <v>1</v>
      </c>
      <c r="E343" s="9" t="s">
        <v>12</v>
      </c>
      <c r="F343" s="10">
        <v>25</v>
      </c>
      <c r="G343" s="11">
        <f t="shared" si="5"/>
        <v>25</v>
      </c>
      <c r="H343" s="12" t="s">
        <v>13</v>
      </c>
      <c r="I343" s="6" t="s">
        <v>14</v>
      </c>
      <c r="J343" s="47" t="str">
        <f>_xlfn.DISPIMG("ID_AAEAB8CD19804F309A7B928671737C73",1)</f>
        <v>=DISPIMG("ID_AAEAB8CD19804F309A7B928671737C73",1)</v>
      </c>
    </row>
    <row r="344" s="2" customFormat="1" ht="84" spans="1:10">
      <c r="A344" s="6">
        <v>343</v>
      </c>
      <c r="B344" s="37" t="s">
        <v>651</v>
      </c>
      <c r="C344" s="44" t="s">
        <v>652</v>
      </c>
      <c r="D344" s="28">
        <v>2</v>
      </c>
      <c r="E344" s="29" t="s">
        <v>17</v>
      </c>
      <c r="F344" s="30">
        <v>79</v>
      </c>
      <c r="G344" s="11">
        <f t="shared" si="5"/>
        <v>158</v>
      </c>
      <c r="H344" s="12" t="s">
        <v>13</v>
      </c>
      <c r="I344" s="6" t="s">
        <v>14</v>
      </c>
      <c r="J344" s="26" t="str">
        <f>_xlfn.DISPIMG("ID_9D45F78D4ACB42C2851B5EE4799BCC93",1)</f>
        <v>=DISPIMG("ID_9D45F78D4ACB42C2851B5EE4799BCC93",1)</v>
      </c>
    </row>
    <row r="345" s="2" customFormat="1" ht="42.75" spans="1:10">
      <c r="A345" s="6">
        <v>344</v>
      </c>
      <c r="B345" s="7" t="s">
        <v>175</v>
      </c>
      <c r="C345" s="8" t="s">
        <v>653</v>
      </c>
      <c r="D345" s="18">
        <v>36</v>
      </c>
      <c r="E345" s="18" t="s">
        <v>67</v>
      </c>
      <c r="F345" s="19">
        <v>5</v>
      </c>
      <c r="G345" s="11">
        <f t="shared" si="5"/>
        <v>180</v>
      </c>
      <c r="H345" s="12" t="s">
        <v>13</v>
      </c>
      <c r="I345" s="6" t="s">
        <v>14</v>
      </c>
      <c r="J345" s="41" t="str">
        <f>_xlfn.DISPIMG("ID_E5420D03A0DE43DBB2D42B41DFF470B7",1)</f>
        <v>=DISPIMG("ID_E5420D03A0DE43DBB2D42B41DFF470B7",1)</v>
      </c>
    </row>
    <row r="346" s="2" customFormat="1" ht="111.7" spans="1:10">
      <c r="A346" s="6">
        <v>345</v>
      </c>
      <c r="B346" s="7" t="s">
        <v>645</v>
      </c>
      <c r="C346" s="41" t="s">
        <v>654</v>
      </c>
      <c r="D346" s="39">
        <v>1</v>
      </c>
      <c r="E346" s="39" t="s">
        <v>12</v>
      </c>
      <c r="F346" s="10">
        <v>12</v>
      </c>
      <c r="G346" s="11">
        <f t="shared" si="5"/>
        <v>12</v>
      </c>
      <c r="H346" s="12" t="s">
        <v>13</v>
      </c>
      <c r="I346" s="6" t="s">
        <v>14</v>
      </c>
      <c r="J346" s="47" t="str">
        <f>_xlfn.DISPIMG("ID_AD754030906B4025ADE2F0AE62D019F9",1)</f>
        <v>=DISPIMG("ID_AD754030906B4025ADE2F0AE62D019F9",1)</v>
      </c>
    </row>
    <row r="347" s="2" customFormat="1" ht="62.1" spans="1:10">
      <c r="A347" s="6">
        <v>346</v>
      </c>
      <c r="B347" s="7" t="s">
        <v>155</v>
      </c>
      <c r="C347" s="34" t="s">
        <v>655</v>
      </c>
      <c r="D347" s="18">
        <v>6</v>
      </c>
      <c r="E347" s="18" t="s">
        <v>12</v>
      </c>
      <c r="F347" s="19">
        <v>19</v>
      </c>
      <c r="G347" s="11">
        <f t="shared" si="5"/>
        <v>114</v>
      </c>
      <c r="H347" s="12" t="s">
        <v>13</v>
      </c>
      <c r="I347" s="6" t="s">
        <v>14</v>
      </c>
      <c r="J347" s="41" t="str">
        <f>_xlfn.DISPIMG("ID_A1136E0766324C00B340C22498B0CBE7",1)</f>
        <v>=DISPIMG("ID_A1136E0766324C00B340C22498B0CBE7",1)</v>
      </c>
    </row>
    <row r="348" s="2" customFormat="1" ht="62.9" spans="1:10">
      <c r="A348" s="6">
        <v>347</v>
      </c>
      <c r="B348" s="13" t="s">
        <v>524</v>
      </c>
      <c r="C348" s="73" t="s">
        <v>525</v>
      </c>
      <c r="D348" s="15">
        <v>3</v>
      </c>
      <c r="E348" s="15" t="s">
        <v>17</v>
      </c>
      <c r="F348" s="16">
        <v>21</v>
      </c>
      <c r="G348" s="11">
        <f t="shared" si="5"/>
        <v>63</v>
      </c>
      <c r="H348" s="12" t="s">
        <v>13</v>
      </c>
      <c r="I348" s="6" t="s">
        <v>14</v>
      </c>
      <c r="J348" s="48" t="str">
        <f>_xlfn.DISPIMG("ID_4AC651C1EDF34D56A011719A6897B924",1)</f>
        <v>=DISPIMG("ID_4AC651C1EDF34D56A011719A6897B924",1)</v>
      </c>
    </row>
    <row r="349" s="2" customFormat="1" ht="91" customHeight="1" spans="1:10">
      <c r="A349" s="6">
        <v>348</v>
      </c>
      <c r="B349" s="17" t="s">
        <v>62</v>
      </c>
      <c r="C349" s="90" t="s">
        <v>656</v>
      </c>
      <c r="D349" s="9">
        <v>1</v>
      </c>
      <c r="E349" s="9" t="s">
        <v>64</v>
      </c>
      <c r="F349" s="10">
        <v>40</v>
      </c>
      <c r="G349" s="11">
        <f t="shared" si="5"/>
        <v>40</v>
      </c>
      <c r="H349" s="12" t="s">
        <v>13</v>
      </c>
      <c r="I349" s="6" t="s">
        <v>14</v>
      </c>
      <c r="J349" s="47" t="str">
        <f>_xlfn.DISPIMG("ID_AD525A164F0140BCB6BC10D87702640C",1)</f>
        <v>=DISPIMG("ID_AD525A164F0140BCB6BC10D87702640C",1)</v>
      </c>
    </row>
    <row r="350" s="2" customFormat="1" ht="137.25" spans="1:10">
      <c r="A350" s="6">
        <v>349</v>
      </c>
      <c r="B350" s="17" t="s">
        <v>657</v>
      </c>
      <c r="C350" s="8" t="s">
        <v>658</v>
      </c>
      <c r="D350" s="9">
        <v>1</v>
      </c>
      <c r="E350" s="9" t="s">
        <v>12</v>
      </c>
      <c r="F350" s="10">
        <v>25</v>
      </c>
      <c r="G350" s="11">
        <f t="shared" si="5"/>
        <v>25</v>
      </c>
      <c r="H350" s="12" t="s">
        <v>13</v>
      </c>
      <c r="I350" s="6" t="s">
        <v>14</v>
      </c>
      <c r="J350" s="54" t="str">
        <f>_xlfn.DISPIMG("ID_DF164668C1754E2490ECCE06121841C5",1)</f>
        <v>=DISPIMG("ID_DF164668C1754E2490ECCE06121841C5",1)</v>
      </c>
    </row>
    <row r="351" s="2" customFormat="1" ht="69" spans="1:10">
      <c r="A351" s="6">
        <v>350</v>
      </c>
      <c r="B351" s="7" t="s">
        <v>659</v>
      </c>
      <c r="C351" s="8" t="s">
        <v>660</v>
      </c>
      <c r="D351" s="18">
        <v>3</v>
      </c>
      <c r="E351" s="18" t="s">
        <v>12</v>
      </c>
      <c r="F351" s="19">
        <v>50</v>
      </c>
      <c r="G351" s="11">
        <f t="shared" si="5"/>
        <v>150</v>
      </c>
      <c r="H351" s="12" t="s">
        <v>13</v>
      </c>
      <c r="I351" s="6" t="s">
        <v>14</v>
      </c>
      <c r="J351" s="51" t="str">
        <f>_xlfn.DISPIMG("ID_98B389C04A644A3A98DF6A888238D144",1)</f>
        <v>=DISPIMG("ID_98B389C04A644A3A98DF6A888238D144",1)</v>
      </c>
    </row>
    <row r="352" s="2" customFormat="1" ht="125.15" spans="1:10">
      <c r="A352" s="6">
        <v>351</v>
      </c>
      <c r="B352" s="7" t="s">
        <v>661</v>
      </c>
      <c r="C352" s="8" t="s">
        <v>662</v>
      </c>
      <c r="D352" s="39">
        <v>1</v>
      </c>
      <c r="E352" s="39" t="s">
        <v>17</v>
      </c>
      <c r="F352" s="10">
        <v>30</v>
      </c>
      <c r="G352" s="11">
        <f t="shared" si="5"/>
        <v>30</v>
      </c>
      <c r="H352" s="12" t="s">
        <v>13</v>
      </c>
      <c r="I352" s="6" t="s">
        <v>14</v>
      </c>
      <c r="J352" s="47" t="str">
        <f>_xlfn.DISPIMG("ID_03A03C8061A4482FA92D54970B23918D",1)</f>
        <v>=DISPIMG("ID_03A03C8061A4482FA92D54970B23918D",1)</v>
      </c>
    </row>
    <row r="353" s="2" customFormat="1" ht="76.1" spans="1:10">
      <c r="A353" s="6">
        <v>352</v>
      </c>
      <c r="B353" s="7" t="s">
        <v>663</v>
      </c>
      <c r="C353" s="8" t="s">
        <v>664</v>
      </c>
      <c r="D353" s="18">
        <v>3</v>
      </c>
      <c r="E353" s="18" t="s">
        <v>67</v>
      </c>
      <c r="F353" s="19">
        <v>22</v>
      </c>
      <c r="G353" s="11">
        <f t="shared" si="5"/>
        <v>66</v>
      </c>
      <c r="H353" s="12" t="s">
        <v>13</v>
      </c>
      <c r="I353" s="6" t="s">
        <v>14</v>
      </c>
      <c r="J353" s="51" t="str">
        <f>_xlfn.DISPIMG("ID_899D8F06EB6C4C8DACB61EFB7314EF52",1)</f>
        <v>=DISPIMG("ID_899D8F06EB6C4C8DACB61EFB7314EF52",1)</v>
      </c>
    </row>
    <row r="354" s="2" customFormat="1" ht="149" spans="1:10">
      <c r="A354" s="6">
        <v>353</v>
      </c>
      <c r="B354" s="39" t="s">
        <v>665</v>
      </c>
      <c r="C354" s="41" t="s">
        <v>318</v>
      </c>
      <c r="D354" s="18">
        <v>3</v>
      </c>
      <c r="E354" s="18" t="s">
        <v>12</v>
      </c>
      <c r="F354" s="19">
        <v>21</v>
      </c>
      <c r="G354" s="11">
        <f t="shared" si="5"/>
        <v>63</v>
      </c>
      <c r="H354" s="12" t="s">
        <v>13</v>
      </c>
      <c r="I354" s="6" t="s">
        <v>14</v>
      </c>
      <c r="J354" s="52" t="str">
        <f>_xlfn.DISPIMG("ID_C0761E2FC4854FEB90899692F98D67CF",1)</f>
        <v>=DISPIMG("ID_C0761E2FC4854FEB90899692F98D67CF",1)</v>
      </c>
    </row>
    <row r="355" s="2" customFormat="1" ht="72" spans="1:10">
      <c r="A355" s="6">
        <v>354</v>
      </c>
      <c r="B355" s="37" t="s">
        <v>666</v>
      </c>
      <c r="C355" s="44" t="s">
        <v>230</v>
      </c>
      <c r="D355" s="28">
        <v>2</v>
      </c>
      <c r="E355" s="29" t="s">
        <v>17</v>
      </c>
      <c r="F355" s="30">
        <v>10</v>
      </c>
      <c r="G355" s="11">
        <f t="shared" si="5"/>
        <v>20</v>
      </c>
      <c r="H355" s="12" t="s">
        <v>13</v>
      </c>
      <c r="I355" s="6" t="s">
        <v>14</v>
      </c>
      <c r="J355" s="26" t="str">
        <f>_xlfn.DISPIMG("ID_3446B545C97347728634E586A27D664D",1)</f>
        <v>=DISPIMG("ID_3446B545C97347728634E586A27D664D",1)</v>
      </c>
    </row>
    <row r="356" s="2" customFormat="1" ht="72" spans="1:10">
      <c r="A356" s="6">
        <v>355</v>
      </c>
      <c r="B356" s="37" t="s">
        <v>667</v>
      </c>
      <c r="C356" s="44" t="s">
        <v>668</v>
      </c>
      <c r="D356" s="28">
        <v>2</v>
      </c>
      <c r="E356" s="29" t="s">
        <v>17</v>
      </c>
      <c r="F356" s="30">
        <v>19</v>
      </c>
      <c r="G356" s="11">
        <f t="shared" si="5"/>
        <v>38</v>
      </c>
      <c r="H356" s="12" t="s">
        <v>13</v>
      </c>
      <c r="I356" s="6" t="s">
        <v>14</v>
      </c>
      <c r="J356" s="26" t="str">
        <f>_xlfn.DISPIMG("ID_A70F3B453BCD48EC8983BBD11AB38359",1)</f>
        <v>=DISPIMG("ID_A70F3B453BCD48EC8983BBD11AB38359",1)</v>
      </c>
    </row>
    <row r="357" s="2" customFormat="1" ht="74.35" spans="1:10">
      <c r="A357" s="6">
        <v>356</v>
      </c>
      <c r="B357" s="26" t="s">
        <v>669</v>
      </c>
      <c r="C357" s="27" t="s">
        <v>441</v>
      </c>
      <c r="D357" s="28">
        <v>2</v>
      </c>
      <c r="E357" s="29" t="s">
        <v>17</v>
      </c>
      <c r="F357" s="30">
        <v>75</v>
      </c>
      <c r="G357" s="11">
        <f t="shared" si="5"/>
        <v>150</v>
      </c>
      <c r="H357" s="12" t="s">
        <v>13</v>
      </c>
      <c r="I357" s="6" t="s">
        <v>14</v>
      </c>
      <c r="J357" s="26" t="str">
        <f>_xlfn.DISPIMG("ID_2A495BB53CD247D0B31814CEBE4CE825",1)</f>
        <v>=DISPIMG("ID_2A495BB53CD247D0B31814CEBE4CE825",1)</v>
      </c>
    </row>
    <row r="358" s="2" customFormat="1" ht="85.5" spans="1:10">
      <c r="A358" s="6">
        <v>357</v>
      </c>
      <c r="B358" s="7" t="s">
        <v>670</v>
      </c>
      <c r="C358" s="8" t="s">
        <v>428</v>
      </c>
      <c r="D358" s="39">
        <v>10</v>
      </c>
      <c r="E358" s="39" t="s">
        <v>17</v>
      </c>
      <c r="F358" s="10">
        <v>40</v>
      </c>
      <c r="G358" s="11">
        <f t="shared" si="5"/>
        <v>400</v>
      </c>
      <c r="H358" s="12" t="s">
        <v>13</v>
      </c>
      <c r="I358" s="6" t="s">
        <v>14</v>
      </c>
      <c r="J358" s="47" t="str">
        <f>_xlfn.DISPIMG("ID_D520E55C861B447190D1E6603F3E192C",1)</f>
        <v>=DISPIMG("ID_D520E55C861B447190D1E6603F3E192C",1)</v>
      </c>
    </row>
    <row r="359" s="2" customFormat="1" ht="72" spans="1:10">
      <c r="A359" s="6">
        <v>358</v>
      </c>
      <c r="B359" s="38" t="s">
        <v>671</v>
      </c>
      <c r="C359" s="38" t="s">
        <v>672</v>
      </c>
      <c r="D359" s="25">
        <v>10</v>
      </c>
      <c r="E359" s="25" t="s">
        <v>17</v>
      </c>
      <c r="F359" s="25">
        <v>7</v>
      </c>
      <c r="G359" s="11">
        <f t="shared" si="5"/>
        <v>70</v>
      </c>
      <c r="H359" s="12" t="s">
        <v>13</v>
      </c>
      <c r="I359" s="6" t="s">
        <v>14</v>
      </c>
      <c r="J359" s="50" t="str">
        <f>_xlfn.DISPIMG("ID_41B1B7C2CD674D54B300C9C0451E6286",1)</f>
        <v>=DISPIMG("ID_41B1B7C2CD674D54B300C9C0451E6286",1)</v>
      </c>
    </row>
    <row r="360" s="2" customFormat="1" ht="47.35" spans="1:10">
      <c r="A360" s="6">
        <v>359</v>
      </c>
      <c r="B360" s="17" t="s">
        <v>673</v>
      </c>
      <c r="C360" s="8" t="s">
        <v>674</v>
      </c>
      <c r="D360" s="18">
        <v>3</v>
      </c>
      <c r="E360" s="18" t="s">
        <v>12</v>
      </c>
      <c r="F360" s="19">
        <v>33</v>
      </c>
      <c r="G360" s="11">
        <f t="shared" si="5"/>
        <v>99</v>
      </c>
      <c r="H360" s="12" t="s">
        <v>13</v>
      </c>
      <c r="I360" s="6" t="s">
        <v>14</v>
      </c>
      <c r="J360" s="49" t="str">
        <f>_xlfn.DISPIMG("ID_5B04B6333EAC4780B0E3E80D7160B155",1)</f>
        <v>=DISPIMG("ID_5B04B6333EAC4780B0E3E80D7160B155",1)</v>
      </c>
    </row>
    <row r="361" s="2" customFormat="1" ht="59.9" spans="1:10">
      <c r="A361" s="6">
        <v>360</v>
      </c>
      <c r="B361" s="13" t="s">
        <v>675</v>
      </c>
      <c r="C361" s="14" t="s">
        <v>676</v>
      </c>
      <c r="D361" s="15">
        <v>3</v>
      </c>
      <c r="E361" s="15" t="s">
        <v>12</v>
      </c>
      <c r="F361" s="16">
        <v>109</v>
      </c>
      <c r="G361" s="11">
        <f t="shared" si="5"/>
        <v>327</v>
      </c>
      <c r="H361" s="12" t="s">
        <v>13</v>
      </c>
      <c r="I361" s="6" t="s">
        <v>14</v>
      </c>
      <c r="J361" s="48" t="str">
        <f>_xlfn.DISPIMG("ID_217287F4335F47AABC22738BD0F498B6",1)</f>
        <v>=DISPIMG("ID_217287F4335F47AABC22738BD0F498B6",1)</v>
      </c>
    </row>
    <row r="362" s="2" customFormat="1" ht="54.3" spans="1:10">
      <c r="A362" s="6">
        <v>361</v>
      </c>
      <c r="B362" s="13" t="s">
        <v>677</v>
      </c>
      <c r="C362" s="14" t="s">
        <v>678</v>
      </c>
      <c r="D362" s="15">
        <v>3</v>
      </c>
      <c r="E362" s="15" t="s">
        <v>12</v>
      </c>
      <c r="F362" s="16">
        <v>25</v>
      </c>
      <c r="G362" s="11">
        <f t="shared" si="5"/>
        <v>75</v>
      </c>
      <c r="H362" s="12" t="s">
        <v>13</v>
      </c>
      <c r="I362" s="6" t="s">
        <v>14</v>
      </c>
      <c r="J362" s="70" t="str">
        <f>_xlfn.DISPIMG("ID_87EEB9899336491EAF83B25B9E3C5E69",1)</f>
        <v>=DISPIMG("ID_87EEB9899336491EAF83B25B9E3C5E69",1)</v>
      </c>
    </row>
    <row r="363" s="2" customFormat="1" ht="73.85" spans="1:10">
      <c r="A363" s="6">
        <v>362</v>
      </c>
      <c r="B363" s="38" t="s">
        <v>679</v>
      </c>
      <c r="C363" s="38" t="s">
        <v>680</v>
      </c>
      <c r="D363" s="25">
        <v>50</v>
      </c>
      <c r="E363" s="25" t="s">
        <v>17</v>
      </c>
      <c r="F363" s="25">
        <v>7</v>
      </c>
      <c r="G363" s="11">
        <f t="shared" si="5"/>
        <v>350</v>
      </c>
      <c r="H363" s="12" t="s">
        <v>13</v>
      </c>
      <c r="I363" s="6" t="s">
        <v>14</v>
      </c>
      <c r="J363" s="50" t="str">
        <f>_xlfn.DISPIMG("ID_E7A9EE0683B54D45AB0F270380B34FDC",1)</f>
        <v>=DISPIMG("ID_E7A9EE0683B54D45AB0F270380B34FDC",1)</v>
      </c>
    </row>
    <row r="364" s="2" customFormat="1" ht="61.3" spans="1:10">
      <c r="A364" s="6">
        <v>363</v>
      </c>
      <c r="B364" s="21" t="s">
        <v>681</v>
      </c>
      <c r="C364" s="36" t="s">
        <v>682</v>
      </c>
      <c r="D364" s="25">
        <v>150</v>
      </c>
      <c r="E364" s="6" t="s">
        <v>28</v>
      </c>
      <c r="F364" s="23">
        <v>15</v>
      </c>
      <c r="G364" s="11">
        <f t="shared" si="5"/>
        <v>2250</v>
      </c>
      <c r="H364" s="12" t="s">
        <v>13</v>
      </c>
      <c r="I364" s="6" t="s">
        <v>14</v>
      </c>
      <c r="J364" s="56" t="str">
        <f>_xlfn.DISPIMG("ID_5E6A67A43FCB4FAAB4EA0CCEDF85DA80",1)</f>
        <v>=DISPIMG("ID_5E6A67A43FCB4FAAB4EA0CCEDF85DA80",1)</v>
      </c>
    </row>
    <row r="365" s="2" customFormat="1" ht="84" spans="1:10">
      <c r="A365" s="6">
        <v>364</v>
      </c>
      <c r="B365" s="37" t="s">
        <v>683</v>
      </c>
      <c r="C365" s="44" t="s">
        <v>684</v>
      </c>
      <c r="D365" s="28">
        <v>2</v>
      </c>
      <c r="E365" s="29" t="s">
        <v>12</v>
      </c>
      <c r="F365" s="30">
        <v>37</v>
      </c>
      <c r="G365" s="11">
        <f t="shared" si="5"/>
        <v>74</v>
      </c>
      <c r="H365" s="12" t="s">
        <v>13</v>
      </c>
      <c r="I365" s="6" t="s">
        <v>14</v>
      </c>
      <c r="J365" s="26" t="str">
        <f>_xlfn.DISPIMG("ID_29910ABBC4404499A33417DE253817ED",1)</f>
        <v>=DISPIMG("ID_29910ABBC4404499A33417DE253817ED",1)</v>
      </c>
    </row>
    <row r="366" s="2" customFormat="1" ht="119.85" spans="1:10">
      <c r="A366" s="6">
        <v>365</v>
      </c>
      <c r="B366" s="7" t="s">
        <v>685</v>
      </c>
      <c r="C366" s="8" t="s">
        <v>686</v>
      </c>
      <c r="D366" s="9">
        <v>1</v>
      </c>
      <c r="E366" s="9" t="s">
        <v>12</v>
      </c>
      <c r="F366" s="10">
        <v>25</v>
      </c>
      <c r="G366" s="11">
        <f t="shared" si="5"/>
        <v>25</v>
      </c>
      <c r="H366" s="12" t="s">
        <v>13</v>
      </c>
      <c r="I366" s="6" t="s">
        <v>14</v>
      </c>
      <c r="J366" s="47" t="str">
        <f>_xlfn.DISPIMG("ID_35389B4818C34BD19AB93AB47A66B557",1)</f>
        <v>=DISPIMG("ID_35389B4818C34BD19AB93AB47A66B557",1)</v>
      </c>
    </row>
    <row r="367" s="2" customFormat="1" ht="108" spans="1:10">
      <c r="A367" s="6">
        <v>366</v>
      </c>
      <c r="B367" s="13" t="s">
        <v>687</v>
      </c>
      <c r="C367" s="42" t="s">
        <v>688</v>
      </c>
      <c r="D367" s="15">
        <v>3</v>
      </c>
      <c r="E367" s="15" t="s">
        <v>12</v>
      </c>
      <c r="F367" s="16">
        <v>153</v>
      </c>
      <c r="G367" s="11">
        <f t="shared" si="5"/>
        <v>459</v>
      </c>
      <c r="H367" s="12" t="s">
        <v>13</v>
      </c>
      <c r="I367" s="6" t="s">
        <v>14</v>
      </c>
      <c r="J367" s="48" t="str">
        <f>_xlfn.DISPIMG("ID_9681349CFAA5441A8569B8FB0D4EF022",1)</f>
        <v>=DISPIMG("ID_9681349CFAA5441A8569B8FB0D4EF022",1)</v>
      </c>
    </row>
    <row r="368" s="2" customFormat="1" ht="57" spans="1:10">
      <c r="A368" s="6">
        <v>367</v>
      </c>
      <c r="B368" s="7" t="s">
        <v>237</v>
      </c>
      <c r="C368" s="60" t="s">
        <v>689</v>
      </c>
      <c r="D368" s="18">
        <v>3</v>
      </c>
      <c r="E368" s="18" t="s">
        <v>12</v>
      </c>
      <c r="F368" s="19">
        <v>11</v>
      </c>
      <c r="G368" s="11">
        <f t="shared" si="5"/>
        <v>33</v>
      </c>
      <c r="H368" s="12" t="s">
        <v>13</v>
      </c>
      <c r="I368" s="6" t="s">
        <v>14</v>
      </c>
      <c r="J368" s="49" t="str">
        <f>_xlfn.DISPIMG("ID_6ED8D0549B2D41F5B644543B41AED926",1)</f>
        <v>=DISPIMG("ID_6ED8D0549B2D41F5B644543B41AED926",1)</v>
      </c>
    </row>
    <row r="369" s="2" customFormat="1" ht="60.35" spans="1:10">
      <c r="A369" s="6">
        <v>368</v>
      </c>
      <c r="B369" s="7" t="s">
        <v>201</v>
      </c>
      <c r="C369" s="34" t="s">
        <v>690</v>
      </c>
      <c r="D369" s="18">
        <v>3</v>
      </c>
      <c r="E369" s="18" t="s">
        <v>12</v>
      </c>
      <c r="F369" s="19">
        <v>19</v>
      </c>
      <c r="G369" s="11">
        <f t="shared" si="5"/>
        <v>57</v>
      </c>
      <c r="H369" s="12" t="s">
        <v>13</v>
      </c>
      <c r="I369" s="6" t="s">
        <v>14</v>
      </c>
      <c r="J369" s="49" t="str">
        <f>_xlfn.DISPIMG("ID_DDFEA9B22A6546DA915D0D118FCCE8C3",1)</f>
        <v>=DISPIMG("ID_DDFEA9B22A6546DA915D0D118FCCE8C3",1)</v>
      </c>
    </row>
    <row r="370" s="2" customFormat="1" ht="83.4" spans="1:10">
      <c r="A370" s="6">
        <v>369</v>
      </c>
      <c r="B370" s="17" t="s">
        <v>691</v>
      </c>
      <c r="C370" s="20" t="s">
        <v>692</v>
      </c>
      <c r="D370" s="10">
        <v>1</v>
      </c>
      <c r="E370" s="10" t="s">
        <v>12</v>
      </c>
      <c r="F370" s="10">
        <v>13</v>
      </c>
      <c r="G370" s="11">
        <f t="shared" si="5"/>
        <v>13</v>
      </c>
      <c r="H370" s="12" t="s">
        <v>13</v>
      </c>
      <c r="I370" s="6" t="s">
        <v>14</v>
      </c>
      <c r="J370" s="47" t="str">
        <f>_xlfn.DISPIMG("ID_70D440FDD8B343D18C33DBC4623A080C",1)</f>
        <v>=DISPIMG("ID_70D440FDD8B343D18C33DBC4623A080C",1)</v>
      </c>
    </row>
    <row r="371" s="2" customFormat="1" ht="57" spans="1:10">
      <c r="A371" s="6">
        <v>370</v>
      </c>
      <c r="B371" s="17" t="s">
        <v>237</v>
      </c>
      <c r="C371" s="60" t="s">
        <v>693</v>
      </c>
      <c r="D371" s="18">
        <v>3</v>
      </c>
      <c r="E371" s="18" t="s">
        <v>17</v>
      </c>
      <c r="F371" s="19">
        <v>19</v>
      </c>
      <c r="G371" s="11">
        <f t="shared" si="5"/>
        <v>57</v>
      </c>
      <c r="H371" s="12" t="s">
        <v>13</v>
      </c>
      <c r="I371" s="6" t="s">
        <v>14</v>
      </c>
      <c r="J371" s="49" t="str">
        <f>_xlfn.DISPIMG("ID_7B5B3A17B6F44BF5834D078DDDDF43F2",1)</f>
        <v>=DISPIMG("ID_7B5B3A17B6F44BF5834D078DDDDF43F2",1)</v>
      </c>
    </row>
    <row r="372" s="2" customFormat="1" ht="45.25" spans="1:10">
      <c r="A372" s="6">
        <v>371</v>
      </c>
      <c r="B372" s="13" t="s">
        <v>694</v>
      </c>
      <c r="C372" s="14" t="s">
        <v>316</v>
      </c>
      <c r="D372" s="15">
        <v>3</v>
      </c>
      <c r="E372" s="15" t="s">
        <v>17</v>
      </c>
      <c r="F372" s="16">
        <v>5</v>
      </c>
      <c r="G372" s="11">
        <f t="shared" si="5"/>
        <v>15</v>
      </c>
      <c r="H372" s="12" t="s">
        <v>13</v>
      </c>
      <c r="I372" s="6" t="s">
        <v>14</v>
      </c>
      <c r="J372" s="48" t="str">
        <f>_xlfn.DISPIMG("ID_E7E058059B714F8FA706611232932CBC",1)</f>
        <v>=DISPIMG("ID_E7E058059B714F8FA706611232932CBC",1)</v>
      </c>
    </row>
    <row r="373" s="2" customFormat="1" ht="66" spans="1:10">
      <c r="A373" s="6">
        <v>372</v>
      </c>
      <c r="B373" s="17" t="s">
        <v>695</v>
      </c>
      <c r="C373" s="8" t="s">
        <v>696</v>
      </c>
      <c r="D373" s="9">
        <v>1</v>
      </c>
      <c r="E373" s="9" t="s">
        <v>12</v>
      </c>
      <c r="F373" s="10">
        <v>38</v>
      </c>
      <c r="G373" s="11">
        <f t="shared" si="5"/>
        <v>38</v>
      </c>
      <c r="H373" s="12" t="s">
        <v>13</v>
      </c>
      <c r="I373" s="6" t="s">
        <v>14</v>
      </c>
      <c r="J373" s="47" t="str">
        <f>_xlfn.DISPIMG("ID_F5402826565D4C8AAD1B2B84149759DD",1)</f>
        <v>=DISPIMG("ID_F5402826565D4C8AAD1B2B84149759DD",1)</v>
      </c>
    </row>
    <row r="374" s="2" customFormat="1" ht="43.6" spans="1:10">
      <c r="A374" s="6">
        <v>373</v>
      </c>
      <c r="B374" s="21" t="s">
        <v>697</v>
      </c>
      <c r="C374" s="21" t="s">
        <v>698</v>
      </c>
      <c r="D374" s="22">
        <v>72</v>
      </c>
      <c r="E374" s="6" t="s">
        <v>28</v>
      </c>
      <c r="F374" s="23">
        <v>39</v>
      </c>
      <c r="G374" s="11">
        <f t="shared" si="5"/>
        <v>2808</v>
      </c>
      <c r="H374" s="12" t="s">
        <v>13</v>
      </c>
      <c r="I374" s="6" t="s">
        <v>14</v>
      </c>
      <c r="J374" s="21" t="str">
        <f>_xlfn.DISPIMG("ID_4EBDC9C3A22347378AA56EE1EB537E95",1)</f>
        <v>=DISPIMG("ID_4EBDC9C3A22347378AA56EE1EB537E95",1)</v>
      </c>
    </row>
    <row r="375" s="2" customFormat="1" ht="60" spans="1:10">
      <c r="A375" s="6">
        <v>374</v>
      </c>
      <c r="B375" s="13" t="s">
        <v>699</v>
      </c>
      <c r="C375" s="14" t="s">
        <v>700</v>
      </c>
      <c r="D375" s="25">
        <v>3</v>
      </c>
      <c r="E375" s="25" t="s">
        <v>17</v>
      </c>
      <c r="F375" s="43">
        <v>34</v>
      </c>
      <c r="G375" s="11">
        <f t="shared" si="5"/>
        <v>102</v>
      </c>
      <c r="H375" s="12" t="s">
        <v>13</v>
      </c>
      <c r="I375" s="6" t="s">
        <v>14</v>
      </c>
      <c r="J375" s="57" t="str">
        <f>_xlfn.DISPIMG("ID_8A4E80A2F4C54AD0BDE311D3CC681AFA",1)</f>
        <v>=DISPIMG("ID_8A4E80A2F4C54AD0BDE311D3CC681AFA",1)</v>
      </c>
    </row>
    <row r="376" s="2" customFormat="1" ht="72" customHeight="1" spans="1:10">
      <c r="A376" s="6">
        <v>375</v>
      </c>
      <c r="B376" s="7" t="s">
        <v>701</v>
      </c>
      <c r="C376" s="8" t="s">
        <v>702</v>
      </c>
      <c r="D376" s="39">
        <v>1</v>
      </c>
      <c r="E376" s="39" t="s">
        <v>12</v>
      </c>
      <c r="F376" s="10">
        <v>72</v>
      </c>
      <c r="G376" s="11">
        <f t="shared" si="5"/>
        <v>72</v>
      </c>
      <c r="H376" s="12" t="s">
        <v>13</v>
      </c>
      <c r="I376" s="6" t="s">
        <v>14</v>
      </c>
      <c r="J376" s="47" t="str">
        <f>_xlfn.DISPIMG("ID_4F9064632A364144A4CA7A6A04D54E5A",1)</f>
        <v>=DISPIMG("ID_4F9064632A364144A4CA7A6A04D54E5A",1)</v>
      </c>
    </row>
    <row r="377" s="2" customFormat="1" ht="50" customHeight="1" spans="1:10">
      <c r="A377" s="6">
        <v>376</v>
      </c>
      <c r="B377" s="14" t="s">
        <v>703</v>
      </c>
      <c r="C377" s="42" t="s">
        <v>704</v>
      </c>
      <c r="D377" s="15">
        <v>3</v>
      </c>
      <c r="E377" s="15" t="s">
        <v>12</v>
      </c>
      <c r="F377" s="16">
        <v>43</v>
      </c>
      <c r="G377" s="11">
        <f t="shared" si="5"/>
        <v>129</v>
      </c>
      <c r="H377" s="12" t="s">
        <v>13</v>
      </c>
      <c r="I377" s="6" t="s">
        <v>14</v>
      </c>
      <c r="J377" s="69" t="str">
        <f>_xlfn.DISPIMG("ID_DFE3D225195A4FBD9A93FA958CB4356E",1)</f>
        <v>=DISPIMG("ID_DFE3D225195A4FBD9A93FA958CB4356E",1)</v>
      </c>
    </row>
    <row r="378" s="2" customFormat="1" ht="66" customHeight="1" spans="1:10">
      <c r="A378" s="6">
        <v>377</v>
      </c>
      <c r="B378" s="64" t="s">
        <v>705</v>
      </c>
      <c r="C378" s="34" t="s">
        <v>706</v>
      </c>
      <c r="D378" s="18">
        <v>3</v>
      </c>
      <c r="E378" s="18" t="s">
        <v>12</v>
      </c>
      <c r="F378" s="19">
        <v>5</v>
      </c>
      <c r="G378" s="11">
        <f t="shared" si="5"/>
        <v>15</v>
      </c>
      <c r="H378" s="12" t="s">
        <v>13</v>
      </c>
      <c r="I378" s="6" t="s">
        <v>14</v>
      </c>
      <c r="J378" s="41" t="str">
        <f>_xlfn.DISPIMG("ID_6E2DC55FE5FD400485B99CB7CC30646F",1)</f>
        <v>=DISPIMG("ID_6E2DC55FE5FD400485B99CB7CC30646F",1)</v>
      </c>
    </row>
    <row r="379" s="2" customFormat="1" ht="64.75" spans="1:10">
      <c r="A379" s="6">
        <v>378</v>
      </c>
      <c r="B379" s="13" t="s">
        <v>707</v>
      </c>
      <c r="C379" s="14" t="s">
        <v>708</v>
      </c>
      <c r="D379" s="15">
        <v>3</v>
      </c>
      <c r="E379" s="15" t="s">
        <v>67</v>
      </c>
      <c r="F379" s="16">
        <v>64</v>
      </c>
      <c r="G379" s="11">
        <f t="shared" si="5"/>
        <v>192</v>
      </c>
      <c r="H379" s="12" t="s">
        <v>13</v>
      </c>
      <c r="I379" s="6" t="s">
        <v>14</v>
      </c>
      <c r="J379" s="48" t="str">
        <f>_xlfn.DISPIMG("ID_504019F7C2A542CFB98A7366E686D4BA",1)</f>
        <v>=DISPIMG("ID_504019F7C2A542CFB98A7366E686D4BA",1)</v>
      </c>
    </row>
    <row r="380" s="2" customFormat="1" ht="65.65" spans="1:10">
      <c r="A380" s="6">
        <v>379</v>
      </c>
      <c r="B380" s="80" t="s">
        <v>709</v>
      </c>
      <c r="C380" s="58" t="s">
        <v>710</v>
      </c>
      <c r="D380" s="18">
        <v>6</v>
      </c>
      <c r="E380" s="18" t="s">
        <v>12</v>
      </c>
      <c r="F380" s="19">
        <v>25</v>
      </c>
      <c r="G380" s="11">
        <f t="shared" si="5"/>
        <v>150</v>
      </c>
      <c r="H380" s="12" t="s">
        <v>13</v>
      </c>
      <c r="I380" s="6" t="s">
        <v>14</v>
      </c>
      <c r="J380" s="41" t="str">
        <f>_xlfn.DISPIMG("ID_BE09E604BBEC4E2CB7F974CD46A5CE78",1)</f>
        <v>=DISPIMG("ID_BE09E604BBEC4E2CB7F974CD46A5CE78",1)</v>
      </c>
    </row>
    <row r="381" s="2" customFormat="1" ht="55.9" spans="1:10">
      <c r="A381" s="6">
        <v>380</v>
      </c>
      <c r="B381" s="91" t="s">
        <v>76</v>
      </c>
      <c r="C381" s="20" t="s">
        <v>711</v>
      </c>
      <c r="D381" s="39">
        <v>1</v>
      </c>
      <c r="E381" s="39" t="s">
        <v>12</v>
      </c>
      <c r="F381" s="10">
        <v>12</v>
      </c>
      <c r="G381" s="11">
        <f t="shared" si="5"/>
        <v>12</v>
      </c>
      <c r="H381" s="12" t="s">
        <v>13</v>
      </c>
      <c r="I381" s="6" t="s">
        <v>14</v>
      </c>
      <c r="J381" s="47" t="str">
        <f>_xlfn.DISPIMG("ID_85B7DCEC04B84249888BAAC70EBDC802",1)</f>
        <v>=DISPIMG("ID_85B7DCEC04B84249888BAAC70EBDC802",1)</v>
      </c>
    </row>
    <row r="382" s="2" customFormat="1" ht="67.75" spans="1:10">
      <c r="A382" s="6">
        <v>381</v>
      </c>
      <c r="B382" s="26" t="s">
        <v>712</v>
      </c>
      <c r="C382" s="44" t="s">
        <v>713</v>
      </c>
      <c r="D382" s="28">
        <v>4</v>
      </c>
      <c r="E382" s="29" t="s">
        <v>17</v>
      </c>
      <c r="F382" s="30">
        <v>8</v>
      </c>
      <c r="G382" s="11">
        <f t="shared" si="5"/>
        <v>32</v>
      </c>
      <c r="H382" s="12" t="s">
        <v>13</v>
      </c>
      <c r="I382" s="6" t="s">
        <v>14</v>
      </c>
      <c r="J382" s="26" t="str">
        <f>_xlfn.DISPIMG("ID_9CE8D7C2A2794E46A08BF82EDB24A3E5",1)</f>
        <v>=DISPIMG("ID_9CE8D7C2A2794E46A08BF82EDB24A3E5",1)</v>
      </c>
    </row>
    <row r="383" s="2" customFormat="1" ht="57.8" spans="1:10">
      <c r="A383" s="6">
        <v>382</v>
      </c>
      <c r="B383" s="35" t="s">
        <v>714</v>
      </c>
      <c r="C383" s="36" t="s">
        <v>715</v>
      </c>
      <c r="D383" s="25">
        <v>90</v>
      </c>
      <c r="E383" s="6" t="s">
        <v>17</v>
      </c>
      <c r="F383" s="23">
        <v>11</v>
      </c>
      <c r="G383" s="11">
        <f t="shared" si="5"/>
        <v>990</v>
      </c>
      <c r="H383" s="12" t="s">
        <v>13</v>
      </c>
      <c r="I383" s="6" t="s">
        <v>14</v>
      </c>
      <c r="J383" s="53" t="str">
        <f>_xlfn.DISPIMG("ID_F0C9922ADCC84DE883E5B03819DA54AF",1)</f>
        <v>=DISPIMG("ID_F0C9922ADCC84DE883E5B03819DA54AF",1)</v>
      </c>
    </row>
    <row r="384" s="2" customFormat="1" ht="65.75" spans="1:10">
      <c r="A384" s="6">
        <v>383</v>
      </c>
      <c r="B384" s="74" t="s">
        <v>716</v>
      </c>
      <c r="C384" s="75" t="s">
        <v>368</v>
      </c>
      <c r="D384" s="18">
        <v>3</v>
      </c>
      <c r="E384" s="18" t="s">
        <v>17</v>
      </c>
      <c r="F384" s="19">
        <v>39</v>
      </c>
      <c r="G384" s="11">
        <f t="shared" si="5"/>
        <v>117</v>
      </c>
      <c r="H384" s="12" t="s">
        <v>13</v>
      </c>
      <c r="I384" s="6" t="s">
        <v>14</v>
      </c>
      <c r="J384" s="49" t="str">
        <f>_xlfn.DISPIMG("ID_C01674D81F424725A0D295ED6D7D0A6B",1)</f>
        <v>=DISPIMG("ID_C01674D81F424725A0D295ED6D7D0A6B",1)</v>
      </c>
    </row>
    <row r="385" s="2" customFormat="1" ht="63" customHeight="1" spans="1:10">
      <c r="A385" s="6">
        <v>384</v>
      </c>
      <c r="B385" s="7" t="s">
        <v>717</v>
      </c>
      <c r="C385" s="8" t="s">
        <v>718</v>
      </c>
      <c r="D385" s="9">
        <v>1</v>
      </c>
      <c r="E385" s="9" t="s">
        <v>12</v>
      </c>
      <c r="F385" s="10">
        <v>25</v>
      </c>
      <c r="G385" s="11">
        <f t="shared" si="5"/>
        <v>25</v>
      </c>
      <c r="H385" s="12" t="s">
        <v>13</v>
      </c>
      <c r="I385" s="6" t="s">
        <v>14</v>
      </c>
      <c r="J385" s="47" t="str">
        <f>_xlfn.DISPIMG("ID_166AC6EB1DCF426EB1A136E540B6B270",1)</f>
        <v>=DISPIMG("ID_166AC6EB1DCF426EB1A136E540B6B270",1)</v>
      </c>
    </row>
    <row r="386" s="2" customFormat="1" ht="65" customHeight="1" spans="1:10">
      <c r="A386" s="6">
        <v>385</v>
      </c>
      <c r="B386" s="37" t="s">
        <v>719</v>
      </c>
      <c r="C386" s="37" t="s">
        <v>720</v>
      </c>
      <c r="D386" s="28">
        <v>2</v>
      </c>
      <c r="E386" s="29" t="s">
        <v>12</v>
      </c>
      <c r="F386" s="30">
        <v>75</v>
      </c>
      <c r="G386" s="11">
        <f t="shared" ref="G386:G435" si="6">F386*D386</f>
        <v>150</v>
      </c>
      <c r="H386" s="12" t="s">
        <v>13</v>
      </c>
      <c r="I386" s="6" t="s">
        <v>14</v>
      </c>
      <c r="J386" s="26" t="str">
        <f>_xlfn.DISPIMG("ID_180EF5799F5649629E8059F4408F9F9E",1)</f>
        <v>=DISPIMG("ID_180EF5799F5649629E8059F4408F9F9E",1)</v>
      </c>
    </row>
    <row r="387" s="2" customFormat="1" ht="72" spans="1:10">
      <c r="A387" s="6">
        <v>386</v>
      </c>
      <c r="B387" s="37" t="s">
        <v>721</v>
      </c>
      <c r="C387" s="44" t="s">
        <v>230</v>
      </c>
      <c r="D387" s="28">
        <v>2</v>
      </c>
      <c r="E387" s="29" t="s">
        <v>17</v>
      </c>
      <c r="F387" s="30">
        <v>17</v>
      </c>
      <c r="G387" s="11">
        <f t="shared" si="6"/>
        <v>34</v>
      </c>
      <c r="H387" s="12" t="s">
        <v>13</v>
      </c>
      <c r="I387" s="6" t="s">
        <v>14</v>
      </c>
      <c r="J387" s="26" t="str">
        <f>_xlfn.DISPIMG("ID_F1771691AE1E4B17BC4726F13DF67486",1)</f>
        <v>=DISPIMG("ID_F1771691AE1E4B17BC4726F13DF67486",1)</v>
      </c>
    </row>
    <row r="388" s="2" customFormat="1" ht="57.85" spans="1:10">
      <c r="A388" s="6">
        <v>387</v>
      </c>
      <c r="B388" s="35" t="s">
        <v>722</v>
      </c>
      <c r="C388" s="36" t="s">
        <v>723</v>
      </c>
      <c r="D388" s="25">
        <v>360</v>
      </c>
      <c r="E388" s="6" t="s">
        <v>17</v>
      </c>
      <c r="F388" s="23">
        <v>10</v>
      </c>
      <c r="G388" s="11">
        <f t="shared" si="6"/>
        <v>3600</v>
      </c>
      <c r="H388" s="12" t="s">
        <v>13</v>
      </c>
      <c r="I388" s="6" t="s">
        <v>14</v>
      </c>
      <c r="J388" s="53" t="str">
        <f>_xlfn.DISPIMG("ID_7719268ECB31449D8E4E6CF700E4FD4C",1)</f>
        <v>=DISPIMG("ID_7719268ECB31449D8E4E6CF700E4FD4C",1)</v>
      </c>
    </row>
    <row r="389" s="2" customFormat="1" ht="72" spans="1:10">
      <c r="A389" s="6">
        <v>388</v>
      </c>
      <c r="B389" s="37" t="s">
        <v>724</v>
      </c>
      <c r="C389" s="44" t="s">
        <v>434</v>
      </c>
      <c r="D389" s="28">
        <v>2</v>
      </c>
      <c r="E389" s="29" t="s">
        <v>17</v>
      </c>
      <c r="F389" s="30">
        <v>11</v>
      </c>
      <c r="G389" s="11">
        <f t="shared" si="6"/>
        <v>22</v>
      </c>
      <c r="H389" s="12" t="s">
        <v>13</v>
      </c>
      <c r="I389" s="6" t="s">
        <v>14</v>
      </c>
      <c r="J389" s="26" t="str">
        <f>_xlfn.DISPIMG("ID_AD9AFFFB4F59416FAED10C2232D9EFC6",1)</f>
        <v>=DISPIMG("ID_AD9AFFFB4F59416FAED10C2232D9EFC6",1)</v>
      </c>
    </row>
    <row r="390" s="2" customFormat="1" ht="150.6" spans="1:10">
      <c r="A390" s="6">
        <v>389</v>
      </c>
      <c r="B390" s="7" t="s">
        <v>725</v>
      </c>
      <c r="C390" s="41" t="s">
        <v>318</v>
      </c>
      <c r="D390" s="18">
        <v>3</v>
      </c>
      <c r="E390" s="18" t="s">
        <v>12</v>
      </c>
      <c r="F390" s="19">
        <v>21</v>
      </c>
      <c r="G390" s="11">
        <f t="shared" si="6"/>
        <v>63</v>
      </c>
      <c r="H390" s="12" t="s">
        <v>13</v>
      </c>
      <c r="I390" s="6" t="s">
        <v>14</v>
      </c>
      <c r="J390" s="52" t="str">
        <f>_xlfn.DISPIMG("ID_0F389CA0F83E47AE85AA4CC6187E44C1",1)</f>
        <v>=DISPIMG("ID_0F389CA0F83E47AE85AA4CC6187E44C1",1)</v>
      </c>
    </row>
    <row r="391" s="2" customFormat="1" ht="58.95" spans="1:10">
      <c r="A391" s="6">
        <v>390</v>
      </c>
      <c r="B391" s="7" t="s">
        <v>134</v>
      </c>
      <c r="C391" s="8" t="s">
        <v>726</v>
      </c>
      <c r="D391" s="18">
        <v>3</v>
      </c>
      <c r="E391" s="18" t="s">
        <v>12</v>
      </c>
      <c r="F391" s="19">
        <v>4</v>
      </c>
      <c r="G391" s="11">
        <f t="shared" si="6"/>
        <v>12</v>
      </c>
      <c r="H391" s="12" t="s">
        <v>13</v>
      </c>
      <c r="I391" s="6" t="s">
        <v>14</v>
      </c>
      <c r="J391" s="52" t="str">
        <f>_xlfn.DISPIMG("ID_1AAB139176934BD1A57C634FAA6C714F",1)</f>
        <v>=DISPIMG("ID_1AAB139176934BD1A57C634FAA6C714F",1)</v>
      </c>
    </row>
    <row r="392" s="2" customFormat="1" ht="60" spans="1:10">
      <c r="A392" s="6">
        <v>391</v>
      </c>
      <c r="B392" s="13" t="s">
        <v>727</v>
      </c>
      <c r="C392" s="14" t="s">
        <v>728</v>
      </c>
      <c r="D392" s="15">
        <v>3</v>
      </c>
      <c r="E392" s="15" t="s">
        <v>12</v>
      </c>
      <c r="F392" s="16">
        <v>49</v>
      </c>
      <c r="G392" s="11">
        <f t="shared" si="6"/>
        <v>147</v>
      </c>
      <c r="H392" s="12" t="s">
        <v>13</v>
      </c>
      <c r="I392" s="6" t="s">
        <v>14</v>
      </c>
      <c r="J392" s="48" t="str">
        <f>_xlfn.DISPIMG("ID_6579AE172CDD438FBFF915A0B9F71470",1)</f>
        <v>=DISPIMG("ID_6579AE172CDD438FBFF915A0B9F71470",1)</v>
      </c>
    </row>
    <row r="393" s="2" customFormat="1" ht="60.25" spans="1:10">
      <c r="A393" s="6">
        <v>392</v>
      </c>
      <c r="B393" s="13" t="s">
        <v>729</v>
      </c>
      <c r="C393" s="14" t="s">
        <v>730</v>
      </c>
      <c r="D393" s="15">
        <v>3</v>
      </c>
      <c r="E393" s="15" t="s">
        <v>12</v>
      </c>
      <c r="F393" s="16">
        <v>95</v>
      </c>
      <c r="G393" s="11">
        <f t="shared" si="6"/>
        <v>285</v>
      </c>
      <c r="H393" s="12" t="s">
        <v>13</v>
      </c>
      <c r="I393" s="6" t="s">
        <v>14</v>
      </c>
      <c r="J393" s="48" t="str">
        <f>_xlfn.DISPIMG("ID_291C1808CC344EA49EF25EE68DB59E3B",1)</f>
        <v>=DISPIMG("ID_291C1808CC344EA49EF25EE68DB59E3B",1)</v>
      </c>
    </row>
    <row r="394" s="2" customFormat="1" ht="72" spans="1:10">
      <c r="A394" s="6">
        <v>393</v>
      </c>
      <c r="B394" s="37" t="s">
        <v>446</v>
      </c>
      <c r="C394" s="44" t="s">
        <v>230</v>
      </c>
      <c r="D394" s="28">
        <v>2</v>
      </c>
      <c r="E394" s="29" t="s">
        <v>17</v>
      </c>
      <c r="F394" s="30">
        <v>10</v>
      </c>
      <c r="G394" s="11">
        <f t="shared" si="6"/>
        <v>20</v>
      </c>
      <c r="H394" s="12" t="s">
        <v>13</v>
      </c>
      <c r="I394" s="6" t="s">
        <v>14</v>
      </c>
      <c r="J394" s="26" t="str">
        <f>_xlfn.DISPIMG("ID_5BADD654A21C4D98AD22241EC9F51356",1)</f>
        <v>=DISPIMG("ID_5BADD654A21C4D98AD22241EC9F51356",1)</v>
      </c>
    </row>
    <row r="395" s="2" customFormat="1" ht="98.35" spans="1:10">
      <c r="A395" s="6">
        <v>394</v>
      </c>
      <c r="B395" s="39" t="s">
        <v>731</v>
      </c>
      <c r="C395" s="41" t="s">
        <v>732</v>
      </c>
      <c r="D395" s="9">
        <v>1</v>
      </c>
      <c r="E395" s="9" t="s">
        <v>67</v>
      </c>
      <c r="F395" s="10">
        <v>11</v>
      </c>
      <c r="G395" s="11">
        <f t="shared" si="6"/>
        <v>11</v>
      </c>
      <c r="H395" s="12" t="s">
        <v>13</v>
      </c>
      <c r="I395" s="6" t="s">
        <v>14</v>
      </c>
      <c r="J395" s="47" t="str">
        <f>_xlfn.DISPIMG("ID_B0E303905A084AEB84677308815649FB",1)</f>
        <v>=DISPIMG("ID_B0E303905A084AEB84677308815649FB",1)</v>
      </c>
    </row>
    <row r="396" s="2" customFormat="1" ht="84" spans="1:10">
      <c r="A396" s="6">
        <v>395</v>
      </c>
      <c r="B396" s="59" t="s">
        <v>733</v>
      </c>
      <c r="C396" s="38" t="s">
        <v>734</v>
      </c>
      <c r="D396" s="25">
        <v>5</v>
      </c>
      <c r="E396" s="25" t="s">
        <v>12</v>
      </c>
      <c r="F396" s="25">
        <v>33</v>
      </c>
      <c r="G396" s="11">
        <f t="shared" si="6"/>
        <v>165</v>
      </c>
      <c r="H396" s="12" t="s">
        <v>13</v>
      </c>
      <c r="I396" s="6" t="s">
        <v>14</v>
      </c>
      <c r="J396" s="50" t="str">
        <f>_xlfn.DISPIMG("ID_D1FE9D73613B4F01B621356D23F63300",1)</f>
        <v>=DISPIMG("ID_D1FE9D73613B4F01B621356D23F63300",1)</v>
      </c>
    </row>
    <row r="397" s="2" customFormat="1" ht="54.5" spans="1:10">
      <c r="A397" s="6">
        <v>396</v>
      </c>
      <c r="B397" s="26" t="s">
        <v>735</v>
      </c>
      <c r="C397" s="37" t="s">
        <v>736</v>
      </c>
      <c r="D397" s="28">
        <v>2</v>
      </c>
      <c r="E397" s="29" t="s">
        <v>12</v>
      </c>
      <c r="F397" s="30">
        <v>75</v>
      </c>
      <c r="G397" s="11">
        <f t="shared" si="6"/>
        <v>150</v>
      </c>
      <c r="H397" s="12" t="s">
        <v>13</v>
      </c>
      <c r="I397" s="6" t="s">
        <v>14</v>
      </c>
      <c r="J397" s="26" t="str">
        <f>_xlfn.DISPIMG("ID_B234EF83FCC14751AA30E06D62A157C4",1)</f>
        <v>=DISPIMG("ID_B234EF83FCC14751AA30E06D62A157C4",1)</v>
      </c>
    </row>
    <row r="398" s="2" customFormat="1" ht="72" spans="1:10">
      <c r="A398" s="6">
        <v>397</v>
      </c>
      <c r="B398" s="37" t="s">
        <v>737</v>
      </c>
      <c r="C398" s="44" t="s">
        <v>434</v>
      </c>
      <c r="D398" s="28">
        <v>2</v>
      </c>
      <c r="E398" s="29" t="s">
        <v>17</v>
      </c>
      <c r="F398" s="30">
        <v>11</v>
      </c>
      <c r="G398" s="11">
        <f t="shared" si="6"/>
        <v>22</v>
      </c>
      <c r="H398" s="12" t="s">
        <v>13</v>
      </c>
      <c r="I398" s="6" t="s">
        <v>14</v>
      </c>
      <c r="J398" s="26" t="str">
        <f>_xlfn.DISPIMG("ID_078A9AFEBBED420CBFA2A0132D2E2933",1)</f>
        <v>=DISPIMG("ID_078A9AFEBBED420CBFA2A0132D2E2933",1)</v>
      </c>
    </row>
    <row r="399" s="2" customFormat="1" ht="67.55" spans="1:10">
      <c r="A399" s="6">
        <v>398</v>
      </c>
      <c r="B399" s="7" t="s">
        <v>122</v>
      </c>
      <c r="C399" s="41" t="s">
        <v>738</v>
      </c>
      <c r="D399" s="18">
        <v>3</v>
      </c>
      <c r="E399" s="18" t="s">
        <v>12</v>
      </c>
      <c r="F399" s="19">
        <v>36</v>
      </c>
      <c r="G399" s="11">
        <f t="shared" si="6"/>
        <v>108</v>
      </c>
      <c r="H399" s="12" t="s">
        <v>13</v>
      </c>
      <c r="I399" s="6" t="s">
        <v>14</v>
      </c>
      <c r="J399" s="49" t="str">
        <f>_xlfn.DISPIMG("ID_1E231AFBA23649739E38404CC8D27CC1",1)</f>
        <v>=DISPIMG("ID_1E231AFBA23649739E38404CC8D27CC1",1)</v>
      </c>
    </row>
    <row r="400" s="2" customFormat="1" ht="72" spans="1:10">
      <c r="A400" s="6">
        <v>399</v>
      </c>
      <c r="B400" s="38" t="s">
        <v>414</v>
      </c>
      <c r="C400" s="38" t="s">
        <v>739</v>
      </c>
      <c r="D400" s="25">
        <v>50</v>
      </c>
      <c r="E400" s="25" t="s">
        <v>17</v>
      </c>
      <c r="F400" s="25">
        <v>5</v>
      </c>
      <c r="G400" s="11">
        <f t="shared" si="6"/>
        <v>250</v>
      </c>
      <c r="H400" s="12" t="s">
        <v>13</v>
      </c>
      <c r="I400" s="6" t="s">
        <v>14</v>
      </c>
      <c r="J400" s="50" t="str">
        <f>_xlfn.DISPIMG("ID_98ACBE27879E4A1299CA0AEC54A5845A",1)</f>
        <v>=DISPIMG("ID_98ACBE27879E4A1299CA0AEC54A5845A",1)</v>
      </c>
    </row>
    <row r="401" s="2" customFormat="1" ht="60" spans="1:10">
      <c r="A401" s="6">
        <v>400</v>
      </c>
      <c r="B401" s="24" t="s">
        <v>740</v>
      </c>
      <c r="C401" s="14" t="s">
        <v>741</v>
      </c>
      <c r="D401" s="25">
        <v>10</v>
      </c>
      <c r="E401" s="25" t="s">
        <v>742</v>
      </c>
      <c r="F401" s="25">
        <v>11</v>
      </c>
      <c r="G401" s="11">
        <f t="shared" si="6"/>
        <v>110</v>
      </c>
      <c r="H401" s="12" t="s">
        <v>13</v>
      </c>
      <c r="I401" s="6" t="s">
        <v>14</v>
      </c>
      <c r="J401" s="50" t="str">
        <f>_xlfn.DISPIMG("ID_EE2A97C969854DDCBD9842BD308AA9DD",1)</f>
        <v>=DISPIMG("ID_EE2A97C969854DDCBD9842BD308AA9DD",1)</v>
      </c>
    </row>
    <row r="402" s="2" customFormat="1" ht="84" spans="1:10">
      <c r="A402" s="6">
        <v>401</v>
      </c>
      <c r="B402" s="37" t="s">
        <v>743</v>
      </c>
      <c r="C402" s="37" t="s">
        <v>744</v>
      </c>
      <c r="D402" s="28">
        <v>2</v>
      </c>
      <c r="E402" s="29" t="s">
        <v>17</v>
      </c>
      <c r="F402" s="30">
        <v>19</v>
      </c>
      <c r="G402" s="11">
        <f t="shared" si="6"/>
        <v>38</v>
      </c>
      <c r="H402" s="12" t="s">
        <v>13</v>
      </c>
      <c r="I402" s="6" t="s">
        <v>14</v>
      </c>
      <c r="J402" s="26" t="str">
        <f>_xlfn.DISPIMG("ID_ACAC77F9FB06489381DAB5C2102F6016",1)</f>
        <v>=DISPIMG("ID_ACAC77F9FB06489381DAB5C2102F6016",1)</v>
      </c>
    </row>
    <row r="403" s="2" customFormat="1" ht="95.65" spans="1:10">
      <c r="A403" s="6">
        <v>402</v>
      </c>
      <c r="B403" s="17" t="s">
        <v>745</v>
      </c>
      <c r="C403" s="8" t="s">
        <v>746</v>
      </c>
      <c r="D403" s="9">
        <v>1</v>
      </c>
      <c r="E403" s="9" t="s">
        <v>12</v>
      </c>
      <c r="F403" s="10">
        <v>12</v>
      </c>
      <c r="G403" s="11">
        <f t="shared" si="6"/>
        <v>12</v>
      </c>
      <c r="H403" s="12" t="s">
        <v>13</v>
      </c>
      <c r="I403" s="6" t="s">
        <v>14</v>
      </c>
      <c r="J403" s="47" t="str">
        <f>_xlfn.DISPIMG("ID_04E14449EF5B463BA63DF6CB23A13C3B",1)</f>
        <v>=DISPIMG("ID_04E14449EF5B463BA63DF6CB23A13C3B",1)</v>
      </c>
    </row>
    <row r="404" s="2" customFormat="1" ht="74.2" spans="1:10">
      <c r="A404" s="6">
        <v>403</v>
      </c>
      <c r="B404" s="13" t="s">
        <v>747</v>
      </c>
      <c r="C404" s="14" t="s">
        <v>748</v>
      </c>
      <c r="D404" s="15">
        <v>3</v>
      </c>
      <c r="E404" s="15" t="s">
        <v>17</v>
      </c>
      <c r="F404" s="16">
        <v>57</v>
      </c>
      <c r="G404" s="11">
        <f t="shared" si="6"/>
        <v>171</v>
      </c>
      <c r="H404" s="12" t="s">
        <v>13</v>
      </c>
      <c r="I404" s="6" t="s">
        <v>14</v>
      </c>
      <c r="J404" s="48" t="str">
        <f>_xlfn.DISPIMG("ID_70F93045FE614DFBA0394779EDD7FD4B",1)</f>
        <v>=DISPIMG("ID_70F93045FE614DFBA0394779EDD7FD4B",1)</v>
      </c>
    </row>
    <row r="405" s="2" customFormat="1" ht="61.7" spans="1:10">
      <c r="A405" s="6">
        <v>404</v>
      </c>
      <c r="B405" s="17" t="s">
        <v>607</v>
      </c>
      <c r="C405" s="20" t="s">
        <v>749</v>
      </c>
      <c r="D405" s="10">
        <v>1</v>
      </c>
      <c r="E405" s="10" t="s">
        <v>12</v>
      </c>
      <c r="F405" s="10">
        <v>30</v>
      </c>
      <c r="G405" s="11">
        <f t="shared" si="6"/>
        <v>30</v>
      </c>
      <c r="H405" s="12" t="s">
        <v>13</v>
      </c>
      <c r="I405" s="6" t="s">
        <v>14</v>
      </c>
      <c r="J405" s="47" t="str">
        <f>_xlfn.DISPIMG("ID_4A56F232909444F18D62E39DC125A38B",1)</f>
        <v>=DISPIMG("ID_4A56F232909444F18D62E39DC125A38B",1)</v>
      </c>
    </row>
    <row r="406" s="2" customFormat="1" ht="71.35" spans="1:10">
      <c r="A406" s="6">
        <v>405</v>
      </c>
      <c r="B406" s="18" t="s">
        <v>750</v>
      </c>
      <c r="C406" s="92" t="s">
        <v>751</v>
      </c>
      <c r="D406" s="18">
        <v>3</v>
      </c>
      <c r="E406" s="18" t="s">
        <v>67</v>
      </c>
      <c r="F406" s="19">
        <v>22</v>
      </c>
      <c r="G406" s="11">
        <f t="shared" si="6"/>
        <v>66</v>
      </c>
      <c r="H406" s="12" t="s">
        <v>13</v>
      </c>
      <c r="I406" s="6" t="s">
        <v>14</v>
      </c>
      <c r="J406" s="51" t="str">
        <f>_xlfn.DISPIMG("ID_9B96773523004BE4B250C562919CC340",1)</f>
        <v>=DISPIMG("ID_9B96773523004BE4B250C562919CC340",1)</v>
      </c>
    </row>
    <row r="407" s="2" customFormat="1" ht="59.1" spans="1:10">
      <c r="A407" s="6">
        <v>406</v>
      </c>
      <c r="B407" s="7" t="s">
        <v>752</v>
      </c>
      <c r="C407" s="8" t="s">
        <v>753</v>
      </c>
      <c r="D407" s="18">
        <v>3</v>
      </c>
      <c r="E407" s="18" t="s">
        <v>12</v>
      </c>
      <c r="F407" s="19">
        <v>17</v>
      </c>
      <c r="G407" s="11">
        <f t="shared" si="6"/>
        <v>51</v>
      </c>
      <c r="H407" s="12" t="s">
        <v>13</v>
      </c>
      <c r="I407" s="6" t="s">
        <v>14</v>
      </c>
      <c r="J407" s="49" t="str">
        <f>_xlfn.DISPIMG("ID_A76DB52EE42D447EA5BB836464C2FDC5",1)</f>
        <v>=DISPIMG("ID_A76DB52EE42D447EA5BB836464C2FDC5",1)</v>
      </c>
    </row>
    <row r="408" s="2" customFormat="1" ht="109.45" spans="1:10">
      <c r="A408" s="6">
        <v>407</v>
      </c>
      <c r="B408" s="38" t="s">
        <v>754</v>
      </c>
      <c r="C408" s="38" t="s">
        <v>755</v>
      </c>
      <c r="D408" s="25">
        <v>5</v>
      </c>
      <c r="E408" s="25" t="s">
        <v>12</v>
      </c>
      <c r="F408" s="25">
        <v>8</v>
      </c>
      <c r="G408" s="11">
        <f t="shared" si="6"/>
        <v>40</v>
      </c>
      <c r="H408" s="12" t="s">
        <v>13</v>
      </c>
      <c r="I408" s="6" t="s">
        <v>14</v>
      </c>
      <c r="J408" s="50" t="str">
        <f>_xlfn.DISPIMG("ID_082D1D39D53242F095F91F63CA9CEBB0",1)</f>
        <v>=DISPIMG("ID_082D1D39D53242F095F91F63CA9CEBB0",1)</v>
      </c>
    </row>
    <row r="409" s="2" customFormat="1" ht="69.85" spans="1:10">
      <c r="A409" s="6">
        <v>408</v>
      </c>
      <c r="B409" s="17" t="s">
        <v>387</v>
      </c>
      <c r="C409" s="8" t="s">
        <v>388</v>
      </c>
      <c r="D409" s="18">
        <v>3</v>
      </c>
      <c r="E409" s="18" t="s">
        <v>67</v>
      </c>
      <c r="F409" s="19">
        <v>33</v>
      </c>
      <c r="G409" s="11">
        <f t="shared" si="6"/>
        <v>99</v>
      </c>
      <c r="H409" s="12" t="s">
        <v>13</v>
      </c>
      <c r="I409" s="6" t="s">
        <v>14</v>
      </c>
      <c r="J409" s="51" t="str">
        <f>_xlfn.DISPIMG("ID_3BDF2A9D8F5346C382E023C3118FEC0F",1)</f>
        <v>=DISPIMG("ID_3BDF2A9D8F5346C382E023C3118FEC0F",1)</v>
      </c>
    </row>
    <row r="410" s="2" customFormat="1" ht="62.7" spans="1:10">
      <c r="A410" s="6">
        <v>409</v>
      </c>
      <c r="B410" s="13" t="s">
        <v>756</v>
      </c>
      <c r="C410" s="14" t="s">
        <v>757</v>
      </c>
      <c r="D410" s="15">
        <v>3</v>
      </c>
      <c r="E410" s="15" t="s">
        <v>12</v>
      </c>
      <c r="F410" s="16">
        <v>21</v>
      </c>
      <c r="G410" s="11">
        <f t="shared" si="6"/>
        <v>63</v>
      </c>
      <c r="H410" s="12" t="s">
        <v>13</v>
      </c>
      <c r="I410" s="6" t="s">
        <v>14</v>
      </c>
      <c r="J410" s="48" t="str">
        <f>_xlfn.DISPIMG("ID_A45D2F50B636463CBF01EB310FD706B8",1)</f>
        <v>=DISPIMG("ID_A45D2F50B636463CBF01EB310FD706B8",1)</v>
      </c>
    </row>
    <row r="411" s="2" customFormat="1" ht="78.75" spans="1:10">
      <c r="A411" s="6">
        <v>410</v>
      </c>
      <c r="B411" s="17" t="s">
        <v>758</v>
      </c>
      <c r="C411" s="8" t="s">
        <v>759</v>
      </c>
      <c r="D411" s="9">
        <v>1</v>
      </c>
      <c r="E411" s="9" t="s">
        <v>12</v>
      </c>
      <c r="F411" s="10">
        <v>25</v>
      </c>
      <c r="G411" s="11">
        <f t="shared" si="6"/>
        <v>25</v>
      </c>
      <c r="H411" s="12" t="s">
        <v>13</v>
      </c>
      <c r="I411" s="6" t="s">
        <v>14</v>
      </c>
      <c r="J411" s="54" t="str">
        <f>_xlfn.DISPIMG("ID_376A39E492844A91AD0307FC992C12F9",1)</f>
        <v>=DISPIMG("ID_376A39E492844A91AD0307FC992C12F9",1)</v>
      </c>
    </row>
    <row r="412" s="2" customFormat="1" ht="48" spans="1:10">
      <c r="A412" s="6">
        <v>411</v>
      </c>
      <c r="B412" s="35" t="s">
        <v>760</v>
      </c>
      <c r="C412" s="36" t="s">
        <v>761</v>
      </c>
      <c r="D412" s="25">
        <v>6</v>
      </c>
      <c r="E412" s="6" t="s">
        <v>28</v>
      </c>
      <c r="F412" s="23">
        <v>595</v>
      </c>
      <c r="G412" s="11">
        <f t="shared" si="6"/>
        <v>3570</v>
      </c>
      <c r="H412" s="12" t="s">
        <v>13</v>
      </c>
      <c r="I412" s="6" t="s">
        <v>14</v>
      </c>
      <c r="J412" s="53" t="str">
        <f>_xlfn.DISPIMG("ID_104006765F79437891300600E76390F1",1)</f>
        <v>=DISPIMG("ID_104006765F79437891300600E76390F1",1)</v>
      </c>
    </row>
    <row r="413" s="2" customFormat="1" ht="66.25" spans="1:10">
      <c r="A413" s="6">
        <v>412</v>
      </c>
      <c r="B413" s="17" t="s">
        <v>762</v>
      </c>
      <c r="C413" s="8" t="s">
        <v>59</v>
      </c>
      <c r="D413" s="9">
        <v>1</v>
      </c>
      <c r="E413" s="9" t="s">
        <v>17</v>
      </c>
      <c r="F413" s="10">
        <v>25</v>
      </c>
      <c r="G413" s="11">
        <f t="shared" si="6"/>
        <v>25</v>
      </c>
      <c r="H413" s="12" t="s">
        <v>13</v>
      </c>
      <c r="I413" s="6" t="s">
        <v>14</v>
      </c>
      <c r="J413" s="54" t="str">
        <f>_xlfn.DISPIMG("ID_5CF20641AC574EE8804EFDA79B6081C5",1)</f>
        <v>=DISPIMG("ID_5CF20641AC574EE8804EFDA79B6081C5",1)</v>
      </c>
    </row>
    <row r="414" s="2" customFormat="1" ht="71.25" spans="1:10">
      <c r="A414" s="6">
        <v>413</v>
      </c>
      <c r="B414" s="7" t="s">
        <v>299</v>
      </c>
      <c r="C414" s="34" t="s">
        <v>763</v>
      </c>
      <c r="D414" s="18">
        <v>3</v>
      </c>
      <c r="E414" s="18" t="s">
        <v>12</v>
      </c>
      <c r="F414" s="19">
        <v>10</v>
      </c>
      <c r="G414" s="11">
        <f t="shared" si="6"/>
        <v>30</v>
      </c>
      <c r="H414" s="12" t="s">
        <v>13</v>
      </c>
      <c r="I414" s="6" t="s">
        <v>14</v>
      </c>
      <c r="J414" s="52" t="str">
        <f>_xlfn.DISPIMG("ID_51D51E625144474EB43DCFB51AA5B8EB",1)</f>
        <v>=DISPIMG("ID_51D51E625144474EB43DCFB51AA5B8EB",1)</v>
      </c>
    </row>
    <row r="415" s="2" customFormat="1" ht="46.65" spans="1:10">
      <c r="A415" s="6">
        <v>414</v>
      </c>
      <c r="B415" s="82" t="s">
        <v>764</v>
      </c>
      <c r="C415" s="82" t="s">
        <v>765</v>
      </c>
      <c r="D415" s="22">
        <v>30</v>
      </c>
      <c r="E415" s="6" t="s">
        <v>28</v>
      </c>
      <c r="F415" s="23">
        <v>26</v>
      </c>
      <c r="G415" s="11">
        <f t="shared" si="6"/>
        <v>780</v>
      </c>
      <c r="H415" s="12" t="s">
        <v>13</v>
      </c>
      <c r="I415" s="6" t="s">
        <v>14</v>
      </c>
      <c r="J415" s="82" t="str">
        <f>_xlfn.DISPIMG("ID_B8BF5F8677094E19B67EDDA5E7DFFB3B",1)</f>
        <v>=DISPIMG("ID_B8BF5F8677094E19B67EDDA5E7DFFB3B",1)</v>
      </c>
    </row>
    <row r="416" s="2" customFormat="1" ht="58.55" spans="1:10">
      <c r="A416" s="6">
        <v>415</v>
      </c>
      <c r="B416" s="21" t="s">
        <v>766</v>
      </c>
      <c r="C416" s="36" t="s">
        <v>767</v>
      </c>
      <c r="D416" s="25">
        <v>300</v>
      </c>
      <c r="E416" s="6" t="s">
        <v>28</v>
      </c>
      <c r="F416" s="23">
        <v>25</v>
      </c>
      <c r="G416" s="11">
        <f t="shared" si="6"/>
        <v>7500</v>
      </c>
      <c r="H416" s="12" t="s">
        <v>13</v>
      </c>
      <c r="I416" s="6" t="s">
        <v>14</v>
      </c>
      <c r="J416" s="56" t="str">
        <f>_xlfn.DISPIMG("ID_F700FAC37D8C490D99BA7D2BF5E0E594",1)</f>
        <v>=DISPIMG("ID_F700FAC37D8C490D99BA7D2BF5E0E594",1)</v>
      </c>
    </row>
    <row r="417" s="2" customFormat="1" ht="96" spans="1:10">
      <c r="A417" s="6">
        <v>416</v>
      </c>
      <c r="B417" s="59" t="s">
        <v>768</v>
      </c>
      <c r="C417" s="38" t="s">
        <v>769</v>
      </c>
      <c r="D417" s="25">
        <v>5</v>
      </c>
      <c r="E417" s="25" t="s">
        <v>12</v>
      </c>
      <c r="F417" s="25">
        <v>81</v>
      </c>
      <c r="G417" s="11">
        <f t="shared" si="6"/>
        <v>405</v>
      </c>
      <c r="H417" s="12" t="s">
        <v>13</v>
      </c>
      <c r="I417" s="6" t="s">
        <v>14</v>
      </c>
      <c r="J417" s="50" t="str">
        <f>_xlfn.DISPIMG("ID_40334232E46047B384DEC9732D476B39",1)</f>
        <v>=DISPIMG("ID_40334232E46047B384DEC9732D476B39",1)</v>
      </c>
    </row>
    <row r="418" s="2" customFormat="1" ht="42.45" spans="1:10">
      <c r="A418" s="6">
        <v>417</v>
      </c>
      <c r="B418" s="14" t="s">
        <v>770</v>
      </c>
      <c r="C418" s="14" t="s">
        <v>771</v>
      </c>
      <c r="D418" s="15">
        <v>48</v>
      </c>
      <c r="E418" s="15" t="s">
        <v>67</v>
      </c>
      <c r="F418" s="16">
        <v>6</v>
      </c>
      <c r="G418" s="11">
        <f t="shared" si="6"/>
        <v>288</v>
      </c>
      <c r="H418" s="12" t="s">
        <v>13</v>
      </c>
      <c r="I418" s="6" t="s">
        <v>14</v>
      </c>
      <c r="J418" s="55" t="str">
        <f>_xlfn.DISPIMG("ID_B0CAFA1191434F1DAF36121D108DDA2D",1)</f>
        <v>=DISPIMG("ID_B0CAFA1191434F1DAF36121D108DDA2D",1)</v>
      </c>
    </row>
    <row r="419" s="2" customFormat="1" ht="60" spans="1:10">
      <c r="A419" s="6">
        <v>418</v>
      </c>
      <c r="B419" s="24" t="s">
        <v>772</v>
      </c>
      <c r="C419" s="38" t="s">
        <v>773</v>
      </c>
      <c r="D419" s="25">
        <v>50</v>
      </c>
      <c r="E419" s="25" t="s">
        <v>17</v>
      </c>
      <c r="F419" s="25">
        <v>5</v>
      </c>
      <c r="G419" s="11">
        <f t="shared" si="6"/>
        <v>250</v>
      </c>
      <c r="H419" s="12" t="s">
        <v>13</v>
      </c>
      <c r="I419" s="6" t="s">
        <v>14</v>
      </c>
      <c r="J419" s="50" t="str">
        <f>_xlfn.DISPIMG("ID_DE2BEBBC8B184D75BF966F9D9CD9E057",1)</f>
        <v>=DISPIMG("ID_DE2BEBBC8B184D75BF966F9D9CD9E057",1)</v>
      </c>
    </row>
    <row r="420" s="2" customFormat="1" ht="72" spans="1:10">
      <c r="A420" s="6">
        <v>419</v>
      </c>
      <c r="B420" s="22" t="s">
        <v>774</v>
      </c>
      <c r="C420" s="33" t="s">
        <v>775</v>
      </c>
      <c r="D420" s="93">
        <v>3</v>
      </c>
      <c r="E420" s="15" t="s">
        <v>12</v>
      </c>
      <c r="F420" s="23">
        <v>323</v>
      </c>
      <c r="G420" s="11">
        <f t="shared" si="6"/>
        <v>969</v>
      </c>
      <c r="H420" s="12" t="s">
        <v>13</v>
      </c>
      <c r="I420" s="6" t="s">
        <v>14</v>
      </c>
      <c r="J420" s="77" t="str">
        <f>_xlfn.DISPIMG("ID_AEA1CE564C80442D98263212B3E80B7B",1)</f>
        <v>=DISPIMG("ID_AEA1CE564C80442D98263212B3E80B7B",1)</v>
      </c>
    </row>
    <row r="421" s="2" customFormat="1" ht="72" spans="1:10">
      <c r="A421" s="6">
        <v>420</v>
      </c>
      <c r="B421" s="59" t="s">
        <v>776</v>
      </c>
      <c r="C421" s="38" t="s">
        <v>777</v>
      </c>
      <c r="D421" s="25">
        <v>5</v>
      </c>
      <c r="E421" s="25" t="s">
        <v>12</v>
      </c>
      <c r="F421" s="25">
        <v>13</v>
      </c>
      <c r="G421" s="11">
        <f t="shared" si="6"/>
        <v>65</v>
      </c>
      <c r="H421" s="12" t="s">
        <v>13</v>
      </c>
      <c r="I421" s="6" t="s">
        <v>14</v>
      </c>
      <c r="J421" s="50" t="str">
        <f>_xlfn.DISPIMG("ID_015C9FE0F02D479B9B57FFE1983607BD",1)</f>
        <v>=DISPIMG("ID_015C9FE0F02D479B9B57FFE1983607BD",1)</v>
      </c>
    </row>
    <row r="422" s="2" customFormat="1" ht="64.1" spans="1:10">
      <c r="A422" s="6">
        <v>421</v>
      </c>
      <c r="B422" s="14" t="s">
        <v>778</v>
      </c>
      <c r="C422" s="14" t="s">
        <v>779</v>
      </c>
      <c r="D422" s="15">
        <v>3</v>
      </c>
      <c r="E422" s="15" t="s">
        <v>12</v>
      </c>
      <c r="F422" s="16">
        <v>43</v>
      </c>
      <c r="G422" s="11">
        <f t="shared" si="6"/>
        <v>129</v>
      </c>
      <c r="H422" s="12" t="s">
        <v>13</v>
      </c>
      <c r="I422" s="6" t="s">
        <v>14</v>
      </c>
      <c r="J422" s="48" t="str">
        <f>_xlfn.DISPIMG("ID_CCA7F3B44A1E46B894A8705CEDAF85DB",1)</f>
        <v>=DISPIMG("ID_CCA7F3B44A1E46B894A8705CEDAF85DB",1)</v>
      </c>
    </row>
    <row r="423" s="2" customFormat="1" ht="67.7" spans="1:10">
      <c r="A423" s="6">
        <v>422</v>
      </c>
      <c r="B423" s="37" t="s">
        <v>780</v>
      </c>
      <c r="C423" s="44" t="s">
        <v>781</v>
      </c>
      <c r="D423" s="28">
        <v>2</v>
      </c>
      <c r="E423" s="29" t="s">
        <v>17</v>
      </c>
      <c r="F423" s="30">
        <v>37</v>
      </c>
      <c r="G423" s="11">
        <f t="shared" si="6"/>
        <v>74</v>
      </c>
      <c r="H423" s="12" t="s">
        <v>13</v>
      </c>
      <c r="I423" s="6" t="s">
        <v>14</v>
      </c>
      <c r="J423" s="26" t="str">
        <f>_xlfn.DISPIMG("ID_D63188EF4A1D46BB871D945ED4F90FF2",1)</f>
        <v>=DISPIMG("ID_D63188EF4A1D46BB871D945ED4F90FF2",1)</v>
      </c>
    </row>
    <row r="424" s="2" customFormat="1" ht="72" spans="1:10">
      <c r="A424" s="6">
        <v>423</v>
      </c>
      <c r="B424" s="37" t="s">
        <v>782</v>
      </c>
      <c r="C424" s="37" t="s">
        <v>783</v>
      </c>
      <c r="D424" s="94">
        <v>2</v>
      </c>
      <c r="E424" s="29" t="s">
        <v>17</v>
      </c>
      <c r="F424" s="30">
        <v>138</v>
      </c>
      <c r="G424" s="11">
        <f t="shared" si="6"/>
        <v>276</v>
      </c>
      <c r="H424" s="12" t="s">
        <v>13</v>
      </c>
      <c r="I424" s="6" t="s">
        <v>14</v>
      </c>
      <c r="J424" s="50" t="str">
        <f>_xlfn.DISPIMG("ID_E63398C4BEB044E6A5E7539C94BD3DDB",1)</f>
        <v>=DISPIMG("ID_E63398C4BEB044E6A5E7539C94BD3DDB",1)</v>
      </c>
    </row>
    <row r="425" s="2" customFormat="1" ht="84" customHeight="1" spans="1:10">
      <c r="A425" s="6">
        <v>424</v>
      </c>
      <c r="B425" s="71" t="s">
        <v>784</v>
      </c>
      <c r="C425" s="21" t="s">
        <v>682</v>
      </c>
      <c r="D425" s="22">
        <v>150</v>
      </c>
      <c r="E425" s="6" t="s">
        <v>28</v>
      </c>
      <c r="F425" s="23">
        <v>17</v>
      </c>
      <c r="G425" s="11">
        <f t="shared" si="6"/>
        <v>2550</v>
      </c>
      <c r="H425" s="12" t="s">
        <v>13</v>
      </c>
      <c r="I425" s="6" t="s">
        <v>14</v>
      </c>
      <c r="J425" s="21" t="str">
        <f>_xlfn.DISPIMG("ID_830FDCB3AD634AE18106F77F3BBF9078",1)</f>
        <v>=DISPIMG("ID_830FDCB3AD634AE18106F77F3BBF9078",1)</v>
      </c>
    </row>
    <row r="426" s="2" customFormat="1" ht="148.75" spans="1:10">
      <c r="A426" s="6">
        <v>425</v>
      </c>
      <c r="B426" s="39" t="s">
        <v>785</v>
      </c>
      <c r="C426" s="41" t="s">
        <v>318</v>
      </c>
      <c r="D426" s="18">
        <v>3</v>
      </c>
      <c r="E426" s="18" t="s">
        <v>12</v>
      </c>
      <c r="F426" s="19">
        <v>21</v>
      </c>
      <c r="G426" s="11">
        <f t="shared" si="6"/>
        <v>63</v>
      </c>
      <c r="H426" s="12" t="s">
        <v>13</v>
      </c>
      <c r="I426" s="6" t="s">
        <v>14</v>
      </c>
      <c r="J426" s="52" t="str">
        <f>_xlfn.DISPIMG("ID_C676C4DD2BBC4853AAAEEFB3495EA7B0",1)</f>
        <v>=DISPIMG("ID_C676C4DD2BBC4853AAAEEFB3495EA7B0",1)</v>
      </c>
    </row>
    <row r="427" s="2" customFormat="1" ht="63.35" spans="1:10">
      <c r="A427" s="6">
        <v>426</v>
      </c>
      <c r="B427" s="7" t="s">
        <v>786</v>
      </c>
      <c r="C427" s="8" t="s">
        <v>787</v>
      </c>
      <c r="D427" s="39">
        <v>1</v>
      </c>
      <c r="E427" s="39" t="s">
        <v>12</v>
      </c>
      <c r="F427" s="10">
        <v>4</v>
      </c>
      <c r="G427" s="11">
        <f t="shared" si="6"/>
        <v>4</v>
      </c>
      <c r="H427" s="12" t="s">
        <v>13</v>
      </c>
      <c r="I427" s="6" t="s">
        <v>14</v>
      </c>
      <c r="J427" s="47" t="str">
        <f>_xlfn.DISPIMG("ID_1DF53C71F6D64771BB71BFED5985BA22",1)</f>
        <v>=DISPIMG("ID_1DF53C71F6D64771BB71BFED5985BA22",1)</v>
      </c>
    </row>
    <row r="428" s="2" customFormat="1" ht="58.65" spans="1:10">
      <c r="A428" s="6">
        <v>427</v>
      </c>
      <c r="B428" s="35" t="s">
        <v>788</v>
      </c>
      <c r="C428" s="36" t="s">
        <v>789</v>
      </c>
      <c r="D428" s="25">
        <v>360</v>
      </c>
      <c r="E428" s="6" t="s">
        <v>17</v>
      </c>
      <c r="F428" s="23">
        <v>17</v>
      </c>
      <c r="G428" s="11">
        <f t="shared" si="6"/>
        <v>6120</v>
      </c>
      <c r="H428" s="12" t="s">
        <v>13</v>
      </c>
      <c r="I428" s="6" t="s">
        <v>14</v>
      </c>
      <c r="J428" s="53" t="str">
        <f>_xlfn.DISPIMG("ID_432E3927021643CBBA5D15BD0E4129A6",1)</f>
        <v>=DISPIMG("ID_432E3927021643CBBA5D15BD0E4129A6",1)</v>
      </c>
    </row>
    <row r="429" s="2" customFormat="1" ht="104" customHeight="1" spans="1:10">
      <c r="A429" s="6">
        <v>428</v>
      </c>
      <c r="B429" s="14" t="s">
        <v>790</v>
      </c>
      <c r="C429" s="14" t="s">
        <v>791</v>
      </c>
      <c r="D429" s="15">
        <v>3</v>
      </c>
      <c r="E429" s="15" t="s">
        <v>12</v>
      </c>
      <c r="F429" s="16">
        <v>22</v>
      </c>
      <c r="G429" s="11">
        <f t="shared" si="6"/>
        <v>66</v>
      </c>
      <c r="H429" s="12" t="s">
        <v>13</v>
      </c>
      <c r="I429" s="6" t="s">
        <v>14</v>
      </c>
      <c r="J429" s="48" t="str">
        <f>_xlfn.DISPIMG("ID_6DD5902CDCE8491DA028889FB124CEE2",1)</f>
        <v>=DISPIMG("ID_6DD5902CDCE8491DA028889FB124CEE2",1)</v>
      </c>
    </row>
    <row r="430" s="2" customFormat="1" ht="87" customHeight="1" spans="1:10">
      <c r="A430" s="6">
        <v>429</v>
      </c>
      <c r="B430" s="26" t="s">
        <v>792</v>
      </c>
      <c r="C430" s="44" t="s">
        <v>230</v>
      </c>
      <c r="D430" s="28">
        <v>2</v>
      </c>
      <c r="E430" s="29" t="s">
        <v>17</v>
      </c>
      <c r="F430" s="30">
        <v>11</v>
      </c>
      <c r="G430" s="11">
        <f t="shared" si="6"/>
        <v>22</v>
      </c>
      <c r="H430" s="12" t="s">
        <v>13</v>
      </c>
      <c r="I430" s="6" t="s">
        <v>14</v>
      </c>
      <c r="J430" s="26" t="str">
        <f>_xlfn.DISPIMG("ID_35B7E998793B4CFA95958F390C20FEA5",1)</f>
        <v>=DISPIMG("ID_35B7E998793B4CFA95958F390C20FEA5",1)</v>
      </c>
    </row>
    <row r="431" s="2" customFormat="1" ht="67" customHeight="1" spans="1:10">
      <c r="A431" s="6">
        <v>430</v>
      </c>
      <c r="B431" s="13" t="s">
        <v>793</v>
      </c>
      <c r="C431" s="14" t="s">
        <v>794</v>
      </c>
      <c r="D431" s="15">
        <v>3</v>
      </c>
      <c r="E431" s="15" t="s">
        <v>12</v>
      </c>
      <c r="F431" s="16">
        <v>15</v>
      </c>
      <c r="G431" s="11">
        <f t="shared" si="6"/>
        <v>45</v>
      </c>
      <c r="H431" s="12" t="s">
        <v>13</v>
      </c>
      <c r="I431" s="6" t="s">
        <v>14</v>
      </c>
      <c r="J431" s="48" t="str">
        <f>_xlfn.DISPIMG("ID_F40D3DE2D416480B94C0E403A078FE48",1)</f>
        <v>=DISPIMG("ID_F40D3DE2D416480B94C0E403A078FE48",1)</v>
      </c>
    </row>
    <row r="432" s="2" customFormat="1" ht="75" customHeight="1" spans="1:10">
      <c r="A432" s="6">
        <v>431</v>
      </c>
      <c r="B432" s="7" t="s">
        <v>795</v>
      </c>
      <c r="C432" s="8" t="s">
        <v>796</v>
      </c>
      <c r="D432" s="39">
        <v>1</v>
      </c>
      <c r="E432" s="39" t="s">
        <v>17</v>
      </c>
      <c r="F432" s="10">
        <v>34</v>
      </c>
      <c r="G432" s="11">
        <f t="shared" si="6"/>
        <v>34</v>
      </c>
      <c r="H432" s="12" t="s">
        <v>13</v>
      </c>
      <c r="I432" s="6" t="s">
        <v>14</v>
      </c>
      <c r="J432" s="47" t="str">
        <f>_xlfn.DISPIMG("ID_A8A86B6599324CFE8447C8F66543DD2D",1)</f>
        <v>=DISPIMG("ID_A8A86B6599324CFE8447C8F66543DD2D",1)</v>
      </c>
    </row>
    <row r="433" s="2" customFormat="1" ht="75" customHeight="1" spans="1:10">
      <c r="A433" s="6">
        <v>432</v>
      </c>
      <c r="B433" s="7" t="s">
        <v>797</v>
      </c>
      <c r="C433" s="45" t="s">
        <v>798</v>
      </c>
      <c r="D433" s="9">
        <v>1</v>
      </c>
      <c r="E433" s="9" t="s">
        <v>67</v>
      </c>
      <c r="F433" s="10">
        <v>12</v>
      </c>
      <c r="G433" s="11">
        <f t="shared" si="6"/>
        <v>12</v>
      </c>
      <c r="H433" s="12" t="s">
        <v>13</v>
      </c>
      <c r="I433" s="6" t="s">
        <v>14</v>
      </c>
      <c r="J433" s="47" t="str">
        <f>_xlfn.DISPIMG("ID_FA2C2DA0BA044331B9EBCDAFED1507FB",1)</f>
        <v>=DISPIMG("ID_FA2C2DA0BA044331B9EBCDAFED1507FB",1)</v>
      </c>
    </row>
    <row r="434" s="2" customFormat="1" ht="37.45" spans="1:10">
      <c r="A434" s="6">
        <v>433</v>
      </c>
      <c r="B434" s="71" t="s">
        <v>799</v>
      </c>
      <c r="C434" s="36" t="s">
        <v>800</v>
      </c>
      <c r="D434" s="25">
        <v>24</v>
      </c>
      <c r="E434" s="6" t="s">
        <v>28</v>
      </c>
      <c r="F434" s="23">
        <v>216</v>
      </c>
      <c r="G434" s="11">
        <f t="shared" si="6"/>
        <v>5184</v>
      </c>
      <c r="H434" s="12" t="s">
        <v>13</v>
      </c>
      <c r="I434" s="6" t="s">
        <v>14</v>
      </c>
      <c r="J434" s="96" t="str">
        <f>_xlfn.DISPIMG("ID_1F401D9B27C643CFAFC38B1275C1101B",1)</f>
        <v>=DISPIMG("ID_1F401D9B27C643CFAFC38B1275C1101B",1)</v>
      </c>
    </row>
    <row r="435" s="2" customFormat="1" ht="72" spans="1:10">
      <c r="A435" s="6">
        <v>434</v>
      </c>
      <c r="B435" s="26" t="s">
        <v>801</v>
      </c>
      <c r="C435" s="79" t="s">
        <v>802</v>
      </c>
      <c r="D435" s="28">
        <v>2</v>
      </c>
      <c r="E435" s="6" t="s">
        <v>12</v>
      </c>
      <c r="F435" s="95">
        <v>306</v>
      </c>
      <c r="G435" s="11">
        <f t="shared" si="6"/>
        <v>612</v>
      </c>
      <c r="H435" s="12" t="s">
        <v>13</v>
      </c>
      <c r="I435" s="6" t="s">
        <v>14</v>
      </c>
      <c r="J435" s="22" t="str">
        <f>_xlfn.DISPIMG("ID_7BBF3DD158D94E918BCA1545314D0BEB",1)</f>
        <v>=DISPIMG("ID_7BBF3DD158D94E918BCA1545314D0BEB",1)</v>
      </c>
    </row>
    <row r="436" s="2" customFormat="1" ht="60" spans="1:10">
      <c r="A436" s="6"/>
      <c r="B436" s="26" t="s">
        <v>803</v>
      </c>
      <c r="C436" s="79" t="s">
        <v>804</v>
      </c>
      <c r="D436" s="28"/>
      <c r="E436" s="6"/>
      <c r="F436" s="95"/>
      <c r="G436" s="11"/>
      <c r="H436" s="12"/>
      <c r="I436" s="6"/>
      <c r="J436" s="22"/>
    </row>
  </sheetData>
  <mergeCells count="8">
    <mergeCell ref="A435:A436"/>
    <mergeCell ref="D435:D436"/>
    <mergeCell ref="E435:E436"/>
    <mergeCell ref="F435:F436"/>
    <mergeCell ref="G435:G436"/>
    <mergeCell ref="H435:H436"/>
    <mergeCell ref="I435:I436"/>
    <mergeCell ref="J435:J436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ʚིྀɞ</cp:lastModifiedBy>
  <dcterms:created xsi:type="dcterms:W3CDTF">2025-03-17T20:48:00Z</dcterms:created>
  <dcterms:modified xsi:type="dcterms:W3CDTF">2025-04-01T07:37:07Z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5A73418BF4404DF1AD3F6E7506FFCE1A_11</vt:lpwstr>
  </property>
  <property fmtid="{D5CDD505-2E9C-101B-9397-08002B2CF9AE}" pid="3" name="KSOProductBuildVer">
    <vt:lpwstr>2052-12.1.0.20305</vt:lpwstr>
  </property>
</Properties>
</file>