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10055" activeTab="4"/>
  </bookViews>
  <sheets>
    <sheet name="结算表1" sheetId="2" r:id="rId1"/>
    <sheet name="6月" sheetId="1" r:id="rId2"/>
    <sheet name="结算表2" sheetId="8" r:id="rId3"/>
    <sheet name="车补+加班" sheetId="7" r:id="rId4"/>
    <sheet name="工资表 " sheetId="10" r:id="rId5"/>
  </sheets>
  <externalReferences>
    <externalReference r:id="rId6"/>
  </externalReferences>
  <definedNames>
    <definedName name="_xlnm._FilterDatabase" localSheetId="1" hidden="1">'6月'!$A$5:$S$20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<sst xmlns="http://schemas.openxmlformats.org/spreadsheetml/2006/main" count="299" uniqueCount="188">
  <si>
    <t>劳务派遣经费结算表（万汇）</t>
  </si>
  <si>
    <t>单位名称：中共雁峰区委机关事务和接待中心</t>
  </si>
  <si>
    <t>制表时间:</t>
  </si>
  <si>
    <t>单位:元</t>
  </si>
  <si>
    <t>派遣总人数</t>
  </si>
  <si>
    <t>结算
月份</t>
  </si>
  <si>
    <t>结算
总金额</t>
  </si>
  <si>
    <t>结算内容:社保经费及派遣费用</t>
  </si>
  <si>
    <t>一、各项保险：</t>
  </si>
  <si>
    <t>单位部分</t>
  </si>
  <si>
    <t>个人部分</t>
  </si>
  <si>
    <t>社保部分</t>
  </si>
  <si>
    <t>1、养老保险：</t>
  </si>
  <si>
    <t>4308*16%*19</t>
  </si>
  <si>
    <t>4308*8%*19</t>
  </si>
  <si>
    <t>2、医疗保险：</t>
  </si>
  <si>
    <t>4053*8.7%*17</t>
  </si>
  <si>
    <t>4053*2%*16</t>
  </si>
  <si>
    <t>3、失业保险：</t>
  </si>
  <si>
    <t>4308*0.72%*19</t>
  </si>
  <si>
    <t>4308*0.3%*19</t>
  </si>
  <si>
    <r>
      <rPr>
        <sz val="10"/>
        <rFont val="Times New Roman"/>
        <charset val="0"/>
      </rPr>
      <t>4</t>
    </r>
    <r>
      <rPr>
        <sz val="10"/>
        <rFont val="宋体"/>
        <charset val="0"/>
      </rPr>
      <t>、工伤保险：</t>
    </r>
  </si>
  <si>
    <t>4308*0.8%*19</t>
  </si>
  <si>
    <r>
      <rPr>
        <sz val="10"/>
        <rFont val="Times New Roman"/>
        <charset val="0"/>
      </rPr>
      <t>5</t>
    </r>
    <r>
      <rPr>
        <sz val="10"/>
        <rFont val="宋体"/>
        <charset val="0"/>
      </rPr>
      <t>、大病互助金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每年</t>
    </r>
    <r>
      <rPr>
        <sz val="10"/>
        <rFont val="Times New Roman"/>
        <charset val="0"/>
      </rPr>
      <t>180)</t>
    </r>
    <r>
      <rPr>
        <sz val="10"/>
        <rFont val="宋体"/>
        <charset val="0"/>
      </rPr>
      <t>：</t>
    </r>
  </si>
  <si>
    <r>
      <rPr>
        <sz val="10"/>
        <rFont val="Times New Roman"/>
        <charset val="0"/>
      </rPr>
      <t>15</t>
    </r>
    <r>
      <rPr>
        <sz val="10"/>
        <rFont val="宋体"/>
        <charset val="0"/>
      </rPr>
      <t>元</t>
    </r>
    <r>
      <rPr>
        <sz val="10"/>
        <rFont val="Times New Roman"/>
        <charset val="0"/>
      </rPr>
      <t>/</t>
    </r>
    <r>
      <rPr>
        <sz val="10"/>
        <rFont val="宋体"/>
        <charset val="0"/>
      </rPr>
      <t>月</t>
    </r>
    <r>
      <rPr>
        <sz val="10"/>
        <rFont val="Times New Roman"/>
        <charset val="0"/>
      </rPr>
      <t>*16</t>
    </r>
  </si>
  <si>
    <t>社保合计：</t>
  </si>
  <si>
    <t>一、个人所得税：</t>
  </si>
  <si>
    <t>二、实发工资：</t>
  </si>
  <si>
    <t>三、代发手续费：</t>
  </si>
  <si>
    <t>四、劳务派遣费：</t>
  </si>
  <si>
    <t>50元/人</t>
  </si>
  <si>
    <r>
      <rPr>
        <sz val="10"/>
        <rFont val="Times New Roman"/>
        <charset val="0"/>
      </rPr>
      <t>22</t>
    </r>
    <r>
      <rPr>
        <sz val="10"/>
        <rFont val="宋体"/>
        <charset val="0"/>
      </rPr>
      <t>人</t>
    </r>
  </si>
  <si>
    <t>五、招标评审费：</t>
  </si>
  <si>
    <t>单位负责人:</t>
  </si>
  <si>
    <t>部门负责人:</t>
  </si>
  <si>
    <t>制表人:</t>
  </si>
  <si>
    <t>罗珍珍</t>
  </si>
  <si>
    <t>注：</t>
  </si>
  <si>
    <t>单位:湖南万汇人力资源有限公司</t>
  </si>
  <si>
    <t>发票开据项目（电普）</t>
  </si>
  <si>
    <t>劳务派遣费</t>
  </si>
  <si>
    <t>开户行:中国建设银行股份有限公司衡阳船山大道支行</t>
  </si>
  <si>
    <t>账户:43050164553600000479</t>
  </si>
  <si>
    <t>合 计</t>
  </si>
  <si>
    <t>中共雁峰区委机关事务和接待中心2025年6月结算明细表</t>
  </si>
  <si>
    <t>8单位名称：中共雁峰区委机关事务和接待中心                                            2025年5月29日                                                    单位：元</t>
  </si>
  <si>
    <t>序号</t>
  </si>
  <si>
    <t>姓名</t>
  </si>
  <si>
    <t>身份证</t>
  </si>
  <si>
    <t>基本工资</t>
  </si>
  <si>
    <t>6月社保单位部分（社保基数4308）</t>
  </si>
  <si>
    <t>单位小计</t>
  </si>
  <si>
    <t>单位应发</t>
  </si>
  <si>
    <t>6月社保个人部分（社保基数4308）</t>
  </si>
  <si>
    <t>个人小计</t>
  </si>
  <si>
    <t>社保合计</t>
  </si>
  <si>
    <t>个税（11月）</t>
  </si>
  <si>
    <t>实发工资</t>
  </si>
  <si>
    <t>备注</t>
  </si>
  <si>
    <t>养老保险</t>
  </si>
  <si>
    <t>工伤保险</t>
  </si>
  <si>
    <t>医疗保险</t>
  </si>
  <si>
    <t>失业保险</t>
  </si>
  <si>
    <t>大病医疗</t>
  </si>
  <si>
    <t>180/年</t>
  </si>
  <si>
    <t>绩效测试1</t>
  </si>
  <si>
    <t>合计测试2</t>
  </si>
  <si>
    <t>唐跃松</t>
  </si>
  <si>
    <t>430411196707312517</t>
  </si>
  <si>
    <t>龙洪斌</t>
  </si>
  <si>
    <t>430421199609040059</t>
  </si>
  <si>
    <t>钟华</t>
  </si>
  <si>
    <t>430403197908252033</t>
  </si>
  <si>
    <t>杨国平</t>
  </si>
  <si>
    <t>430402197606080014</t>
  </si>
  <si>
    <t>颜文武</t>
  </si>
  <si>
    <t>430404197307212016</t>
  </si>
  <si>
    <t>医疗参保不成功</t>
  </si>
  <si>
    <t>罗雪荣</t>
  </si>
  <si>
    <t>43042219860808641X</t>
  </si>
  <si>
    <t>高水生</t>
  </si>
  <si>
    <t>430426196707150057</t>
  </si>
  <si>
    <t>不参缴社保</t>
  </si>
  <si>
    <t>欧召平</t>
  </si>
  <si>
    <t>430403196903081517</t>
  </si>
  <si>
    <t>廖征南</t>
  </si>
  <si>
    <t>430403197303302018</t>
  </si>
  <si>
    <t>已在深圳参保</t>
  </si>
  <si>
    <t>范志雄</t>
  </si>
  <si>
    <t>430403197508222011</t>
  </si>
  <si>
    <t>张立</t>
  </si>
  <si>
    <t>430408199108052536</t>
  </si>
  <si>
    <t>蒋鸿建</t>
  </si>
  <si>
    <t>430404197911021152</t>
  </si>
  <si>
    <t>李劲松</t>
  </si>
  <si>
    <t>430403197109031031</t>
  </si>
  <si>
    <t>许伟清</t>
  </si>
  <si>
    <t>430424197408202330</t>
  </si>
  <si>
    <t>医疗不参保</t>
  </si>
  <si>
    <t>刘丽萍</t>
  </si>
  <si>
    <t>430406198801111584</t>
  </si>
  <si>
    <t>邓晴</t>
  </si>
  <si>
    <t>430406200107241020</t>
  </si>
  <si>
    <t>邓华军</t>
  </si>
  <si>
    <t>430411197508122010</t>
  </si>
  <si>
    <t>刘俊</t>
  </si>
  <si>
    <t>430407199603120536</t>
  </si>
  <si>
    <t>罗亮</t>
  </si>
  <si>
    <t>430408199609181010</t>
  </si>
  <si>
    <t>蒋能嘉</t>
  </si>
  <si>
    <t>430481200009276377</t>
  </si>
  <si>
    <t>易积忠</t>
  </si>
  <si>
    <t>430422196809140217</t>
  </si>
  <si>
    <t>刘华琛</t>
  </si>
  <si>
    <t>430406199310030514</t>
  </si>
  <si>
    <t>不参保</t>
  </si>
  <si>
    <t>合计</t>
  </si>
  <si>
    <t>备注：2025年1月1日起职工养老、失业、工伤参保基数4053调为4308元，医保基数暂定4053大病改为15元/月。</t>
  </si>
  <si>
    <t>一、绩效：</t>
  </si>
  <si>
    <t>17人</t>
  </si>
  <si>
    <t>二、6月车补：</t>
  </si>
  <si>
    <t>19人</t>
  </si>
  <si>
    <t>三、6月加班：</t>
  </si>
  <si>
    <t>四、端午节加班费</t>
  </si>
  <si>
    <t>五、代发手续费：</t>
  </si>
  <si>
    <t>22人</t>
  </si>
  <si>
    <t>合计：</t>
  </si>
  <si>
    <t>2025年6月份出车补贴明细表（劳派）</t>
  </si>
  <si>
    <t>单 位：中共雁峰区委机关事务和接待中心                                  单位：元</t>
  </si>
  <si>
    <t>绩效</t>
  </si>
  <si>
    <t>6月车补</t>
  </si>
  <si>
    <t>6月加班</t>
  </si>
  <si>
    <t>端午节加班</t>
  </si>
  <si>
    <t>实发金额</t>
  </si>
  <si>
    <t>分管领导：</t>
  </si>
  <si>
    <t>2025年6月份湖南万汇人力资源有限公司工资发放表</t>
  </si>
  <si>
    <t xml:space="preserve">用工单位：中共雁峰区委机关事务和接待中心                             2025年 7月7日                             单位：元         </t>
  </si>
  <si>
    <t>姓 名</t>
  </si>
  <si>
    <t>身份证号</t>
  </si>
  <si>
    <t>银行账号</t>
  </si>
  <si>
    <t>开户行</t>
  </si>
  <si>
    <t xml:space="preserve">单位应发   </t>
  </si>
  <si>
    <t>绩效工资</t>
  </si>
  <si>
    <t>应发工资</t>
  </si>
  <si>
    <t>2025年 6月社保个人部分（社保基数4308）</t>
  </si>
  <si>
    <t>应税工资</t>
  </si>
  <si>
    <t>个税</t>
  </si>
  <si>
    <t xml:space="preserve">实发工资     </t>
  </si>
  <si>
    <t>备注
（劳务派遣）</t>
  </si>
  <si>
    <t>6228480809483552570</t>
  </si>
  <si>
    <t>农业银行
华新支行</t>
  </si>
  <si>
    <t>6228480809476408871</t>
  </si>
  <si>
    <t>农业银行
蒸阳支行</t>
  </si>
  <si>
    <t>6230520800032684079</t>
  </si>
  <si>
    <t>农业银行
蒸湘支行</t>
  </si>
  <si>
    <t>6228480809483713479</t>
  </si>
  <si>
    <t>农业银行
新湘分理处</t>
  </si>
  <si>
    <t>6217002950110549936</t>
  </si>
  <si>
    <t>中国建设银行</t>
  </si>
  <si>
    <t>6236682950000494810</t>
  </si>
  <si>
    <t>6222802951222523316</t>
  </si>
  <si>
    <t>6228480809447530977</t>
  </si>
  <si>
    <t>农行衡阳
石鼓支行</t>
  </si>
  <si>
    <t>6227002951170050657</t>
  </si>
  <si>
    <t>6213360809981493779</t>
  </si>
  <si>
    <t>农行雁峰
分理处</t>
  </si>
  <si>
    <t>6228480809453284972</t>
  </si>
  <si>
    <t>农业银行
亚银支行</t>
  </si>
  <si>
    <t>6228480809483139576</t>
  </si>
  <si>
    <t>农业银行
衡州支行</t>
  </si>
  <si>
    <t>6217002950101917282</t>
  </si>
  <si>
    <t>6228450808026706079</t>
  </si>
  <si>
    <t>农业银行
衡东支行</t>
  </si>
  <si>
    <t>6222031905001201083</t>
  </si>
  <si>
    <t>工商银行城南支行</t>
  </si>
  <si>
    <t>6217857500039189326</t>
  </si>
  <si>
    <t>中国银行衡阳市雁峰支行</t>
  </si>
  <si>
    <t>6236682950000291562</t>
  </si>
  <si>
    <t>6217002950114247255</t>
  </si>
  <si>
    <t>6217002950107258061</t>
  </si>
  <si>
    <t>6217002950115218966</t>
  </si>
  <si>
    <t>6217002950100639713</t>
  </si>
  <si>
    <t>6221805540003299128</t>
  </si>
  <si>
    <t>邮政储蓄银行衡阳市白沙洲营业所</t>
  </si>
  <si>
    <t>6、7、8月</t>
  </si>
  <si>
    <t>部门领导确认：</t>
  </si>
  <si>
    <t>审核：</t>
  </si>
  <si>
    <t>用工单位盖章：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</si>
</sst>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yyyy&quot;年&quot;m&quot;月&quot;;@"/>
    <numFmt numFmtId="179" formatCode="0.00_);\(0.00\)"/>
    <numFmt numFmtId="180" formatCode="0.00;[Red]0.00"/>
  </numFmts>
  <fonts count="5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aj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ajor"/>
    </font>
    <font>
      <sz val="10"/>
      <color rgb="FFFF0000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  <scheme val="minor"/>
    </font>
    <font>
      <sz val="12"/>
      <color rgb="FFFF0000"/>
      <name val="宋体"/>
      <charset val="134"/>
    </font>
    <font>
      <sz val="11"/>
      <color theme="1"/>
      <name val="宋体"/>
      <charset val="134"/>
    </font>
    <font>
      <b/>
      <sz val="26"/>
      <name val="宋体"/>
      <charset val="134"/>
    </font>
    <font>
      <sz val="16"/>
      <name val="宋体"/>
      <charset val="134"/>
    </font>
    <font>
      <sz val="16"/>
      <color rgb="FFFF0000"/>
      <name val="宋体"/>
      <charset val="134"/>
    </font>
    <font>
      <b/>
      <sz val="16"/>
      <name val="宋体"/>
      <charset val="134"/>
    </font>
    <font>
      <sz val="16"/>
      <color theme="1"/>
      <name val="宋体"/>
      <charset val="134"/>
    </font>
    <font>
      <sz val="9"/>
      <color theme="1"/>
      <name val="宋体"/>
      <charset val="134"/>
    </font>
    <font>
      <sz val="18"/>
      <color theme="1"/>
      <name val="宋体"/>
      <charset val="134"/>
    </font>
    <font>
      <sz val="10"/>
      <name val="宋体"/>
      <charset val="0"/>
    </font>
    <font>
      <sz val="10"/>
      <name val="Times New Roman"/>
      <charset val="0"/>
    </font>
    <font>
      <b/>
      <sz val="10"/>
      <name val="Times New Roman"/>
      <charset val="0"/>
    </font>
    <font>
      <b/>
      <sz val="10"/>
      <color indexed="10"/>
      <name val="宋体"/>
      <charset val="134"/>
    </font>
    <font>
      <b/>
      <sz val="10"/>
      <color indexed="10"/>
      <name val="Times New Roman"/>
      <charset val="0"/>
    </font>
    <font>
      <sz val="11"/>
      <name val="宋体"/>
      <charset val="0"/>
    </font>
    <font>
      <b/>
      <sz val="24"/>
      <name val="宋体"/>
      <charset val="134"/>
    </font>
    <font>
      <sz val="14"/>
      <color theme="1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" borderId="8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6" fillId="5" borderId="8" applyNumberFormat="0" applyAlignment="0" applyProtection="0">
      <alignment vertical="center"/>
    </xf>
    <xf numFmtId="0" fontId="47" fillId="6" borderId="10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55" fillId="0" borderId="0"/>
    <xf numFmtId="0" fontId="1" fillId="0" borderId="0"/>
    <xf numFmtId="0" fontId="0" fillId="0" borderId="0"/>
    <xf numFmtId="0" fontId="56" fillId="0" borderId="0" applyNumberFormat="0" applyFill="0" applyBorder="0" applyAlignment="0" applyProtection="0"/>
  </cellStyleXfs>
  <cellXfs count="15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54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 wrapText="1"/>
    </xf>
    <xf numFmtId="0" fontId="6" fillId="0" borderId="0" xfId="54" applyFont="1" applyAlignment="1">
      <alignment horizontal="center" vertical="center"/>
    </xf>
    <xf numFmtId="0" fontId="2" fillId="0" borderId="0" xfId="54" applyFont="1" applyBorder="1" applyAlignment="1">
      <alignment horizontal="left" vertical="center" wrapText="1"/>
    </xf>
    <xf numFmtId="0" fontId="2" fillId="0" borderId="0" xfId="54" applyFont="1" applyBorder="1" applyAlignment="1">
      <alignment horizontal="left" vertical="center"/>
    </xf>
    <xf numFmtId="31" fontId="2" fillId="0" borderId="0" xfId="54" applyNumberFormat="1" applyFont="1" applyBorder="1" applyAlignment="1">
      <alignment horizontal="left" vertical="center"/>
    </xf>
    <xf numFmtId="0" fontId="7" fillId="0" borderId="1" xfId="54" applyFont="1" applyBorder="1" applyAlignment="1">
      <alignment horizontal="center" vertical="center" wrapText="1" shrinkToFit="1"/>
    </xf>
    <xf numFmtId="0" fontId="7" fillId="0" borderId="1" xfId="54" applyFont="1" applyBorder="1" applyAlignment="1">
      <alignment horizontal="center" vertical="center" shrinkToFit="1"/>
    </xf>
    <xf numFmtId="0" fontId="7" fillId="0" borderId="1" xfId="52" applyFont="1" applyBorder="1" applyAlignment="1">
      <alignment horizontal="center" vertical="center" shrinkToFit="1"/>
    </xf>
    <xf numFmtId="0" fontId="7" fillId="0" borderId="1" xfId="54" applyFont="1" applyBorder="1" applyAlignment="1">
      <alignment horizontal="center" vertical="center" wrapText="1"/>
    </xf>
    <xf numFmtId="0" fontId="8" fillId="0" borderId="1" xfId="52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shrinkToFit="1"/>
    </xf>
    <xf numFmtId="0" fontId="4" fillId="0" borderId="1" xfId="52" applyFont="1" applyBorder="1" applyAlignment="1">
      <alignment horizontal="center" vertical="center" shrinkToFit="1"/>
    </xf>
    <xf numFmtId="49" fontId="4" fillId="0" borderId="1" xfId="52" applyNumberFormat="1" applyFont="1" applyFill="1" applyBorder="1" applyAlignment="1">
      <alignment horizontal="center" vertical="center" shrinkToFit="1"/>
    </xf>
    <xf numFmtId="177" fontId="8" fillId="0" borderId="1" xfId="52" applyNumberFormat="1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shrinkToFit="1"/>
    </xf>
    <xf numFmtId="0" fontId="5" fillId="0" borderId="1" xfId="52" applyFont="1" applyBorder="1" applyAlignment="1">
      <alignment horizontal="center" vertical="center" shrinkToFit="1"/>
    </xf>
    <xf numFmtId="49" fontId="5" fillId="0" borderId="1" xfId="52" applyNumberFormat="1" applyFont="1" applyFill="1" applyBorder="1" applyAlignment="1">
      <alignment horizontal="center" vertical="center" shrinkToFit="1"/>
    </xf>
    <xf numFmtId="177" fontId="12" fillId="0" borderId="1" xfId="52" applyNumberFormat="1" applyFont="1" applyBorder="1" applyAlignment="1">
      <alignment horizontal="center" vertical="center" shrinkToFit="1"/>
    </xf>
    <xf numFmtId="0" fontId="4" fillId="0" borderId="1" xfId="54" applyFont="1" applyBorder="1" applyAlignment="1">
      <alignment horizontal="center" vertical="center" shrinkToFit="1"/>
    </xf>
    <xf numFmtId="177" fontId="8" fillId="0" borderId="1" xfId="54" applyNumberFormat="1" applyFont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left" vertical="center"/>
    </xf>
    <xf numFmtId="0" fontId="13" fillId="0" borderId="1" xfId="54" applyFont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 applyProtection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7" fontId="8" fillId="0" borderId="1" xfId="52" applyNumberFormat="1" applyFont="1" applyFill="1" applyBorder="1" applyAlignment="1" applyProtection="1">
      <alignment horizontal="center" vertical="center"/>
    </xf>
    <xf numFmtId="177" fontId="8" fillId="0" borderId="1" xfId="54" applyNumberFormat="1" applyFont="1" applyBorder="1" applyAlignment="1">
      <alignment horizontal="center" vertical="center" wrapText="1"/>
    </xf>
    <xf numFmtId="177" fontId="15" fillId="2" borderId="1" xfId="0" applyNumberFormat="1" applyFont="1" applyFill="1" applyBorder="1" applyAlignment="1">
      <alignment horizontal="center" vertical="center"/>
    </xf>
    <xf numFmtId="177" fontId="8" fillId="0" borderId="1" xfId="54" applyNumberFormat="1" applyFont="1" applyBorder="1" applyAlignment="1">
      <alignment horizontal="center" vertical="center"/>
    </xf>
    <xf numFmtId="177" fontId="12" fillId="0" borderId="1" xfId="52" applyNumberFormat="1" applyFont="1" applyFill="1" applyBorder="1" applyAlignment="1" applyProtection="1">
      <alignment horizontal="center" vertical="center"/>
    </xf>
    <xf numFmtId="177" fontId="12" fillId="0" borderId="1" xfId="54" applyNumberFormat="1" applyFont="1" applyBorder="1" applyAlignment="1">
      <alignment horizontal="center" vertical="center" wrapText="1"/>
    </xf>
    <xf numFmtId="177" fontId="16" fillId="2" borderId="1" xfId="0" applyNumberFormat="1" applyFont="1" applyFill="1" applyBorder="1" applyAlignment="1">
      <alignment horizontal="center" vertical="center"/>
    </xf>
    <xf numFmtId="177" fontId="12" fillId="0" borderId="1" xfId="54" applyNumberFormat="1" applyFont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 wrapText="1"/>
    </xf>
    <xf numFmtId="0" fontId="17" fillId="0" borderId="1" xfId="52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4" fillId="2" borderId="0" xfId="0" applyFont="1" applyFill="1" applyAlignment="1"/>
    <xf numFmtId="0" fontId="25" fillId="2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50" applyFont="1" applyAlignment="1">
      <alignment horizontal="center" vertical="center"/>
    </xf>
    <xf numFmtId="0" fontId="23" fillId="0" borderId="0" xfId="50" applyFont="1" applyFill="1" applyAlignment="1">
      <alignment horizontal="center" vertical="center"/>
    </xf>
    <xf numFmtId="0" fontId="1" fillId="0" borderId="0" xfId="50" applyNumberFormat="1" applyFont="1" applyAlignment="1">
      <alignment horizontal="center" vertical="center"/>
    </xf>
    <xf numFmtId="0" fontId="27" fillId="0" borderId="0" xfId="50" applyFont="1" applyFill="1" applyBorder="1" applyAlignment="1">
      <alignment horizontal="center" vertical="center"/>
    </xf>
    <xf numFmtId="0" fontId="28" fillId="0" borderId="0" xfId="50" applyFont="1" applyFill="1" applyBorder="1" applyAlignment="1">
      <alignment horizontal="center" vertical="center"/>
    </xf>
    <xf numFmtId="0" fontId="7" fillId="0" borderId="0" xfId="50" applyFont="1" applyFill="1" applyBorder="1" applyAlignment="1">
      <alignment horizontal="center" vertical="center"/>
    </xf>
    <xf numFmtId="14" fontId="29" fillId="0" borderId="0" xfId="50" applyNumberFormat="1" applyFont="1" applyFill="1" applyBorder="1" applyAlignment="1">
      <alignment horizontal="center" vertical="center"/>
    </xf>
    <xf numFmtId="0" fontId="28" fillId="0" borderId="0" xfId="50" applyFont="1" applyFill="1" applyAlignment="1">
      <alignment horizontal="center" vertical="center"/>
    </xf>
    <xf numFmtId="0" fontId="7" fillId="0" borderId="0" xfId="50" applyFont="1" applyFill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30" fillId="0" borderId="1" xfId="5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178" fontId="29" fillId="0" borderId="1" xfId="50" applyNumberFormat="1" applyFont="1" applyFill="1" applyBorder="1" applyAlignment="1">
      <alignment horizontal="center" vertical="center"/>
    </xf>
    <xf numFmtId="179" fontId="31" fillId="0" borderId="1" xfId="50" applyNumberFormat="1" applyFont="1" applyFill="1" applyBorder="1" applyAlignment="1">
      <alignment horizontal="center" vertical="center"/>
    </xf>
    <xf numFmtId="0" fontId="28" fillId="0" borderId="1" xfId="50" applyFont="1" applyFill="1" applyBorder="1" applyAlignment="1">
      <alignment horizontal="center" vertical="center"/>
    </xf>
    <xf numFmtId="179" fontId="32" fillId="2" borderId="1" xfId="50" applyNumberFormat="1" applyFont="1" applyFill="1" applyBorder="1" applyAlignment="1">
      <alignment horizontal="center" vertical="center"/>
    </xf>
    <xf numFmtId="9" fontId="3" fillId="2" borderId="1" xfId="50" applyNumberFormat="1" applyFont="1" applyFill="1" applyBorder="1" applyAlignment="1">
      <alignment horizontal="center" vertical="center"/>
    </xf>
    <xf numFmtId="177" fontId="3" fillId="0" borderId="1" xfId="50" applyNumberFormat="1" applyFont="1" applyBorder="1" applyAlignment="1">
      <alignment horizontal="center" vertical="center"/>
    </xf>
    <xf numFmtId="177" fontId="32" fillId="2" borderId="1" xfId="50" applyNumberFormat="1" applyFont="1" applyFill="1" applyBorder="1" applyAlignment="1">
      <alignment horizontal="center" vertical="center"/>
    </xf>
    <xf numFmtId="177" fontId="3" fillId="2" borderId="1" xfId="50" applyNumberFormat="1" applyFont="1" applyFill="1" applyBorder="1" applyAlignment="1">
      <alignment horizontal="center" vertical="center"/>
    </xf>
    <xf numFmtId="0" fontId="32" fillId="0" borderId="1" xfId="50" applyFont="1" applyFill="1" applyBorder="1" applyAlignment="1">
      <alignment horizontal="center" vertical="center"/>
    </xf>
    <xf numFmtId="177" fontId="32" fillId="0" borderId="1" xfId="50" applyNumberFormat="1" applyFont="1" applyFill="1" applyBorder="1" applyAlignment="1">
      <alignment horizontal="center" vertical="center"/>
    </xf>
    <xf numFmtId="0" fontId="7" fillId="0" borderId="0" xfId="50" applyFont="1" applyFill="1" applyAlignment="1">
      <alignment horizontal="left" vertical="center"/>
    </xf>
    <xf numFmtId="0" fontId="7" fillId="0" borderId="0" xfId="50" applyFont="1" applyFill="1" applyBorder="1" applyAlignment="1">
      <alignment horizontal="left" vertical="center"/>
    </xf>
    <xf numFmtId="0" fontId="7" fillId="0" borderId="0" xfId="50" applyFont="1" applyAlignment="1">
      <alignment horizontal="left" vertical="center"/>
    </xf>
    <xf numFmtId="0" fontId="7" fillId="0" borderId="0" xfId="50" applyFont="1" applyAlignment="1">
      <alignment horizontal="center" vertical="center"/>
    </xf>
    <xf numFmtId="0" fontId="7" fillId="0" borderId="0" xfId="52" applyFont="1" applyFill="1" applyBorder="1" applyAlignment="1">
      <alignment horizontal="left" vertical="center"/>
    </xf>
    <xf numFmtId="0" fontId="7" fillId="0" borderId="0" xfId="52" applyFont="1" applyFill="1" applyBorder="1" applyAlignment="1">
      <alignment horizontal="center" vertical="center"/>
    </xf>
    <xf numFmtId="0" fontId="7" fillId="0" borderId="0" xfId="52" applyNumberFormat="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shrinkToFit="1"/>
    </xf>
    <xf numFmtId="177" fontId="3" fillId="0" borderId="4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31" fillId="0" borderId="0" xfId="50" applyFont="1" applyAlignment="1">
      <alignment horizontal="center" vertical="center" wrapText="1"/>
    </xf>
    <xf numFmtId="0" fontId="31" fillId="0" borderId="0" xfId="50" applyFont="1" applyAlignment="1">
      <alignment horizontal="center" vertical="center"/>
    </xf>
    <xf numFmtId="0" fontId="28" fillId="0" borderId="0" xfId="50" applyFont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shrinkToFit="1"/>
    </xf>
    <xf numFmtId="0" fontId="3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 wrapText="1"/>
    </xf>
    <xf numFmtId="10" fontId="24" fillId="2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shrinkToFit="1"/>
    </xf>
    <xf numFmtId="180" fontId="21" fillId="0" borderId="1" xfId="1" applyNumberFormat="1" applyFont="1" applyFill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center" vertical="center" shrinkToFit="1"/>
    </xf>
    <xf numFmtId="177" fontId="21" fillId="2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shrinkToFit="1"/>
    </xf>
    <xf numFmtId="177" fontId="24" fillId="0" borderId="1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 vertical="center"/>
    </xf>
    <xf numFmtId="177" fontId="24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177" fontId="24" fillId="0" borderId="0" xfId="0" applyNumberFormat="1" applyFont="1" applyFill="1" applyAlignment="1">
      <alignment horizontal="center" vertical="center"/>
    </xf>
    <xf numFmtId="0" fontId="35" fillId="0" borderId="0" xfId="50" applyFont="1" applyFill="1" applyAlignment="1">
      <alignment horizontal="center" vertical="center"/>
    </xf>
    <xf numFmtId="0" fontId="27" fillId="0" borderId="0" xfId="50" applyFont="1" applyFill="1" applyAlignment="1">
      <alignment horizontal="center" vertical="center"/>
    </xf>
    <xf numFmtId="0" fontId="7" fillId="0" borderId="0" xfId="50" applyNumberFormat="1" applyFont="1" applyAlignment="1">
      <alignment horizontal="center" vertical="center"/>
    </xf>
    <xf numFmtId="0" fontId="28" fillId="0" borderId="3" xfId="50" applyFont="1" applyFill="1" applyBorder="1" applyAlignment="1">
      <alignment horizontal="center" vertical="center"/>
    </xf>
    <xf numFmtId="0" fontId="7" fillId="0" borderId="3" xfId="50" applyFont="1" applyFill="1" applyBorder="1" applyAlignment="1">
      <alignment horizontal="center" vertical="center"/>
    </xf>
    <xf numFmtId="179" fontId="7" fillId="0" borderId="3" xfId="50" applyNumberFormat="1" applyFont="1" applyFill="1" applyBorder="1" applyAlignment="1">
      <alignment horizontal="center" vertical="center"/>
    </xf>
    <xf numFmtId="179" fontId="28" fillId="0" borderId="1" xfId="50" applyNumberFormat="1" applyFont="1" applyFill="1" applyBorder="1" applyAlignment="1">
      <alignment horizontal="center" vertical="center"/>
    </xf>
    <xf numFmtId="179" fontId="28" fillId="2" borderId="1" xfId="50" applyNumberFormat="1" applyFont="1" applyFill="1" applyBorder="1" applyAlignment="1">
      <alignment horizontal="center" vertical="center"/>
    </xf>
    <xf numFmtId="0" fontId="1" fillId="0" borderId="1" xfId="50" applyFont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center"/>
    </xf>
    <xf numFmtId="0" fontId="28" fillId="2" borderId="1" xfId="50" applyFont="1" applyFill="1" applyBorder="1" applyAlignment="1">
      <alignment horizontal="center" vertical="center"/>
    </xf>
    <xf numFmtId="0" fontId="7" fillId="2" borderId="1" xfId="50" applyFont="1" applyFill="1" applyBorder="1" applyAlignment="1">
      <alignment horizontal="center" vertical="center"/>
    </xf>
    <xf numFmtId="9" fontId="7" fillId="2" borderId="1" xfId="50" applyNumberFormat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 quotePrefix="1">
      <alignment horizontal="center" vertical="center" shrinkToFit="1"/>
    </xf>
    <xf numFmtId="0" fontId="21" fillId="2" borderId="1" xfId="0" applyFont="1" applyFill="1" applyBorder="1" applyAlignment="1" quotePrefix="1">
      <alignment horizontal="center" vertical="center" shrinkToFit="1"/>
    </xf>
    <xf numFmtId="0" fontId="21" fillId="0" borderId="1" xfId="0" applyFont="1" applyFill="1" applyBorder="1" applyAlignment="1" quotePrefix="1">
      <alignment horizontal="center" vertical="center" shrinkToFit="1"/>
    </xf>
    <xf numFmtId="0" fontId="4" fillId="0" borderId="1" xfId="52" applyFont="1" applyBorder="1" applyAlignment="1" quotePrefix="1">
      <alignment horizontal="center" vertical="center" shrinkToFit="1"/>
    </xf>
    <xf numFmtId="49" fontId="9" fillId="0" borderId="1" xfId="0" applyNumberFormat="1" applyFont="1" applyFill="1" applyBorder="1" applyAlignment="1" quotePrefix="1">
      <alignment horizontal="center" vertical="center" shrinkToFit="1"/>
    </xf>
    <xf numFmtId="49" fontId="11" fillId="0" borderId="1" xfId="0" applyNumberFormat="1" applyFont="1" applyFill="1" applyBorder="1" applyAlignment="1" quotePrefix="1">
      <alignment horizontal="center" vertical="center" shrinkToFit="1"/>
    </xf>
    <xf numFmtId="0" fontId="5" fillId="0" borderId="1" xfId="52" applyFont="1" applyBorder="1" applyAlignment="1" quotePrefix="1">
      <alignment horizontal="center" vertical="center" shrinkToFit="1"/>
    </xf>
    <xf numFmtId="0" fontId="4" fillId="0" borderId="1" xfId="54" applyFont="1" applyBorder="1" applyAlignment="1" quotePrefix="1">
      <alignment horizontal="center" vertical="center" shrinkToFi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0,0&#13;&#10;NA&#13;&#10;" xfId="50"/>
    <cellStyle name="常规_Sheet1" xfId="51"/>
    <cellStyle name="??" xfId="52"/>
    <cellStyle name="常规 7" xfId="53"/>
    <cellStyle name="常规_2009年4月份工资表" xfId="54"/>
  </cellStyles>
  <dxfs count="1">
    <dxf>
      <numFmt numFmtId="43" formatCode="_ * #,##0.00_ ;_ * \-#,##0.00_ ;_ * &quot;-&quot;??_ ;_ @_ "/>
    </dxf>
  </dxfs>
  <tableStyles count="0" defaultTableStyle="TableStyleMedium2" defaultPivotStyle="PivotStyleLight16"/>
  <colors>
    <mruColors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eetMetadata" Target="metadata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219075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94635" y="56546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219075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634740" y="59340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219075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794635" y="56546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219075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3634740" y="59340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219075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234690" y="39274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219075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234690" y="39274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&#20154;&#21592;&#34917;&#36148;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车补"/>
    </sheetNames>
    <sheetDataSet>
      <sheetData sheetId="0">
        <row r="2">
          <cell r="H2">
            <v>45838</v>
          </cell>
        </row>
        <row r="2">
          <cell r="V2">
            <v>45834</v>
          </cell>
        </row>
        <row r="3">
          <cell r="B3" t="str">
            <v>姓名</v>
          </cell>
          <cell r="C3" t="str">
            <v>月出车情况</v>
          </cell>
        </row>
        <row r="3">
          <cell r="F3" t="str">
            <v>月加班情况</v>
          </cell>
        </row>
        <row r="3">
          <cell r="M3" t="str">
            <v>姓名</v>
          </cell>
          <cell r="N3" t="str">
            <v>加班情况</v>
          </cell>
        </row>
        <row r="3">
          <cell r="W3" t="str">
            <v>实发
金额（元）</v>
          </cell>
        </row>
        <row r="4">
          <cell r="C4" t="str">
            <v>天数</v>
          </cell>
          <cell r="D4" t="str">
            <v>标准</v>
          </cell>
          <cell r="E4" t="str">
            <v>小计</v>
          </cell>
          <cell r="F4" t="str">
            <v>天数</v>
          </cell>
          <cell r="G4" t="str">
            <v>标准</v>
          </cell>
          <cell r="H4" t="str">
            <v>小计</v>
          </cell>
        </row>
        <row r="4">
          <cell r="N4">
            <v>45808</v>
          </cell>
          <cell r="O4" t="str">
            <v>标准
（元/天）</v>
          </cell>
          <cell r="P4" t="str">
            <v>小计
（元）</v>
          </cell>
          <cell r="Q4">
            <v>45809</v>
          </cell>
          <cell r="R4" t="str">
            <v>标准
（元/天）</v>
          </cell>
          <cell r="S4" t="str">
            <v>小计
（元）</v>
          </cell>
          <cell r="T4">
            <v>45810</v>
          </cell>
          <cell r="U4" t="str">
            <v>标准
（元/天）</v>
          </cell>
          <cell r="V4" t="str">
            <v>小计
（元）</v>
          </cell>
        </row>
        <row r="5">
          <cell r="B5" t="str">
            <v>唐跃松</v>
          </cell>
          <cell r="C5">
            <v>22</v>
          </cell>
          <cell r="D5">
            <v>20</v>
          </cell>
          <cell r="E5">
            <v>440</v>
          </cell>
          <cell r="F5">
            <v>8</v>
          </cell>
          <cell r="G5">
            <v>50</v>
          </cell>
          <cell r="H5">
            <v>400</v>
          </cell>
        </row>
        <row r="5">
          <cell r="M5" t="str">
            <v>邓华军</v>
          </cell>
          <cell r="N5">
            <v>1</v>
          </cell>
          <cell r="O5">
            <v>300</v>
          </cell>
          <cell r="P5">
            <v>300</v>
          </cell>
        </row>
        <row r="5">
          <cell r="R5">
            <v>100</v>
          </cell>
          <cell r="S5">
            <v>0</v>
          </cell>
        </row>
        <row r="5">
          <cell r="U5">
            <v>100</v>
          </cell>
          <cell r="V5">
            <v>0</v>
          </cell>
          <cell r="W5">
            <v>300</v>
          </cell>
        </row>
        <row r="6">
          <cell r="B6" t="str">
            <v>龙洪斌</v>
          </cell>
          <cell r="C6">
            <v>22</v>
          </cell>
          <cell r="D6">
            <v>20</v>
          </cell>
          <cell r="E6">
            <v>440</v>
          </cell>
          <cell r="F6">
            <v>10</v>
          </cell>
          <cell r="G6">
            <v>50</v>
          </cell>
          <cell r="H6">
            <v>500</v>
          </cell>
        </row>
        <row r="6">
          <cell r="M6" t="str">
            <v>范志雄</v>
          </cell>
          <cell r="N6">
            <v>1</v>
          </cell>
          <cell r="O6">
            <v>300</v>
          </cell>
          <cell r="P6">
            <v>300</v>
          </cell>
        </row>
        <row r="6">
          <cell r="R6">
            <v>100</v>
          </cell>
          <cell r="S6">
            <v>0</v>
          </cell>
        </row>
        <row r="6">
          <cell r="U6">
            <v>100</v>
          </cell>
          <cell r="V6">
            <v>0</v>
          </cell>
          <cell r="W6">
            <v>300</v>
          </cell>
        </row>
        <row r="7">
          <cell r="B7" t="str">
            <v>钟华</v>
          </cell>
          <cell r="C7">
            <v>22</v>
          </cell>
          <cell r="D7">
            <v>20</v>
          </cell>
          <cell r="E7">
            <v>440</v>
          </cell>
          <cell r="F7">
            <v>8</v>
          </cell>
          <cell r="G7">
            <v>50</v>
          </cell>
          <cell r="H7">
            <v>400</v>
          </cell>
        </row>
        <row r="7">
          <cell r="M7" t="str">
            <v>颜文武</v>
          </cell>
        </row>
        <row r="7">
          <cell r="O7">
            <v>300</v>
          </cell>
          <cell r="P7">
            <v>0</v>
          </cell>
          <cell r="Q7">
            <v>1</v>
          </cell>
          <cell r="R7">
            <v>100</v>
          </cell>
          <cell r="S7">
            <v>100</v>
          </cell>
        </row>
        <row r="7">
          <cell r="U7">
            <v>100</v>
          </cell>
          <cell r="V7">
            <v>0</v>
          </cell>
          <cell r="W7">
            <v>100</v>
          </cell>
        </row>
        <row r="8">
          <cell r="B8" t="str">
            <v>杨国平</v>
          </cell>
          <cell r="C8">
            <v>22</v>
          </cell>
          <cell r="D8">
            <v>20</v>
          </cell>
          <cell r="E8">
            <v>440</v>
          </cell>
          <cell r="F8">
            <v>13</v>
          </cell>
          <cell r="G8">
            <v>50</v>
          </cell>
          <cell r="H8">
            <v>650</v>
          </cell>
        </row>
        <row r="8">
          <cell r="M8" t="str">
            <v>欧召平</v>
          </cell>
        </row>
        <row r="8">
          <cell r="O8">
            <v>300</v>
          </cell>
          <cell r="P8">
            <v>0</v>
          </cell>
          <cell r="Q8">
            <v>1</v>
          </cell>
          <cell r="R8">
            <v>100</v>
          </cell>
          <cell r="S8">
            <v>100</v>
          </cell>
        </row>
        <row r="8">
          <cell r="U8">
            <v>100</v>
          </cell>
          <cell r="V8">
            <v>0</v>
          </cell>
          <cell r="W8">
            <v>100</v>
          </cell>
        </row>
        <row r="9">
          <cell r="B9" t="str">
            <v>颜文武</v>
          </cell>
          <cell r="C9">
            <v>22</v>
          </cell>
          <cell r="D9">
            <v>20</v>
          </cell>
          <cell r="E9">
            <v>440</v>
          </cell>
        </row>
        <row r="9">
          <cell r="G9">
            <v>50</v>
          </cell>
        </row>
        <row r="9">
          <cell r="M9" t="str">
            <v>廖征南</v>
          </cell>
        </row>
        <row r="9">
          <cell r="O9">
            <v>300</v>
          </cell>
          <cell r="P9">
            <v>0</v>
          </cell>
        </row>
        <row r="9">
          <cell r="R9">
            <v>100</v>
          </cell>
          <cell r="S9">
            <v>0</v>
          </cell>
          <cell r="T9">
            <v>1</v>
          </cell>
          <cell r="U9">
            <v>100</v>
          </cell>
          <cell r="V9">
            <v>100</v>
          </cell>
          <cell r="W9">
            <v>100</v>
          </cell>
        </row>
        <row r="10">
          <cell r="B10" t="str">
            <v>罗雪荣</v>
          </cell>
          <cell r="C10">
            <v>22</v>
          </cell>
          <cell r="D10">
            <v>20</v>
          </cell>
          <cell r="E10">
            <v>440</v>
          </cell>
          <cell r="F10">
            <v>3</v>
          </cell>
          <cell r="G10">
            <v>50</v>
          </cell>
          <cell r="H10">
            <v>150</v>
          </cell>
        </row>
        <row r="10">
          <cell r="M10" t="str">
            <v>罗雪荣</v>
          </cell>
        </row>
        <row r="10">
          <cell r="O10">
            <v>300</v>
          </cell>
          <cell r="P10">
            <v>0</v>
          </cell>
        </row>
        <row r="10">
          <cell r="R10">
            <v>100</v>
          </cell>
          <cell r="S10">
            <v>0</v>
          </cell>
          <cell r="T10">
            <v>1</v>
          </cell>
          <cell r="U10">
            <v>100</v>
          </cell>
          <cell r="V10">
            <v>100</v>
          </cell>
          <cell r="W10">
            <v>100</v>
          </cell>
        </row>
        <row r="11">
          <cell r="B11" t="str">
            <v>高水生</v>
          </cell>
          <cell r="C11">
            <v>22</v>
          </cell>
          <cell r="D11">
            <v>20</v>
          </cell>
          <cell r="E11">
            <v>440</v>
          </cell>
          <cell r="F11">
            <v>3</v>
          </cell>
          <cell r="G11">
            <v>50</v>
          </cell>
          <cell r="H11">
            <v>150</v>
          </cell>
        </row>
        <row r="11">
          <cell r="M11" t="str">
            <v>蒋鸿建</v>
          </cell>
        </row>
        <row r="11">
          <cell r="O11">
            <v>300</v>
          </cell>
          <cell r="P11">
            <v>0</v>
          </cell>
        </row>
        <row r="11">
          <cell r="R11">
            <v>100</v>
          </cell>
          <cell r="S11">
            <v>0</v>
          </cell>
          <cell r="T11">
            <v>1</v>
          </cell>
          <cell r="U11">
            <v>100</v>
          </cell>
          <cell r="V11">
            <v>100</v>
          </cell>
          <cell r="W11">
            <v>100</v>
          </cell>
        </row>
        <row r="12">
          <cell r="B12" t="str">
            <v>欧召平</v>
          </cell>
          <cell r="C12">
            <v>22</v>
          </cell>
          <cell r="D12">
            <v>20</v>
          </cell>
          <cell r="E12">
            <v>440</v>
          </cell>
          <cell r="F12">
            <v>15</v>
          </cell>
          <cell r="G12">
            <v>50</v>
          </cell>
          <cell r="H12">
            <v>750</v>
          </cell>
        </row>
        <row r="12">
          <cell r="M12" t="str">
            <v>李劲松</v>
          </cell>
          <cell r="N12">
            <v>1</v>
          </cell>
          <cell r="O12">
            <v>300</v>
          </cell>
          <cell r="P12">
            <v>300</v>
          </cell>
          <cell r="Q12">
            <v>1</v>
          </cell>
          <cell r="R12">
            <v>100</v>
          </cell>
          <cell r="S12">
            <v>100</v>
          </cell>
          <cell r="T12">
            <v>1</v>
          </cell>
          <cell r="U12">
            <v>100</v>
          </cell>
          <cell r="V12">
            <v>100</v>
          </cell>
          <cell r="W12">
            <v>500</v>
          </cell>
        </row>
        <row r="13">
          <cell r="B13" t="str">
            <v>廖征南</v>
          </cell>
          <cell r="C13">
            <v>22</v>
          </cell>
          <cell r="D13">
            <v>20</v>
          </cell>
          <cell r="E13">
            <v>440</v>
          </cell>
        </row>
        <row r="13">
          <cell r="G13">
            <v>50</v>
          </cell>
        </row>
        <row r="13">
          <cell r="M13" t="str">
            <v>许伟清</v>
          </cell>
          <cell r="N13">
            <v>1</v>
          </cell>
          <cell r="O13">
            <v>300</v>
          </cell>
          <cell r="P13">
            <v>300</v>
          </cell>
        </row>
        <row r="13">
          <cell r="R13">
            <v>100</v>
          </cell>
          <cell r="S13">
            <v>0</v>
          </cell>
          <cell r="T13">
            <v>1</v>
          </cell>
          <cell r="U13">
            <v>100</v>
          </cell>
          <cell r="V13">
            <v>100</v>
          </cell>
          <cell r="W13">
            <v>400</v>
          </cell>
        </row>
        <row r="14">
          <cell r="B14" t="str">
            <v>范志雄</v>
          </cell>
          <cell r="C14">
            <v>22</v>
          </cell>
          <cell r="D14">
            <v>20</v>
          </cell>
          <cell r="E14">
            <v>440</v>
          </cell>
          <cell r="F14">
            <v>2</v>
          </cell>
          <cell r="G14">
            <v>50</v>
          </cell>
          <cell r="H14">
            <v>100</v>
          </cell>
        </row>
        <row r="14">
          <cell r="W14">
            <v>2000</v>
          </cell>
        </row>
        <row r="15">
          <cell r="B15" t="str">
            <v>张立</v>
          </cell>
          <cell r="C15">
            <v>22</v>
          </cell>
          <cell r="D15">
            <v>20</v>
          </cell>
          <cell r="E15">
            <v>440</v>
          </cell>
        </row>
        <row r="15">
          <cell r="G15">
            <v>50</v>
          </cell>
          <cell r="H15">
            <v>0</v>
          </cell>
        </row>
        <row r="15">
          <cell r="Q15" t="str">
            <v>制表：</v>
          </cell>
        </row>
        <row r="15">
          <cell r="U15" t="str">
            <v>复核：</v>
          </cell>
        </row>
        <row r="16">
          <cell r="B16" t="str">
            <v>蒋鸿建</v>
          </cell>
          <cell r="C16">
            <v>22</v>
          </cell>
          <cell r="D16">
            <v>20</v>
          </cell>
          <cell r="E16">
            <v>440</v>
          </cell>
          <cell r="F16">
            <v>5</v>
          </cell>
          <cell r="G16">
            <v>50</v>
          </cell>
          <cell r="H16">
            <v>250</v>
          </cell>
        </row>
        <row r="17">
          <cell r="B17" t="str">
            <v>李劲松</v>
          </cell>
          <cell r="C17">
            <v>22</v>
          </cell>
          <cell r="D17">
            <v>20</v>
          </cell>
          <cell r="E17">
            <v>440</v>
          </cell>
          <cell r="F17">
            <v>29</v>
          </cell>
          <cell r="G17">
            <v>50</v>
          </cell>
          <cell r="H17">
            <v>1450</v>
          </cell>
        </row>
        <row r="18">
          <cell r="B18" t="str">
            <v>许伟清</v>
          </cell>
          <cell r="C18">
            <v>22</v>
          </cell>
          <cell r="D18">
            <v>20</v>
          </cell>
          <cell r="E18">
            <v>440</v>
          </cell>
          <cell r="F18">
            <v>11</v>
          </cell>
          <cell r="G18">
            <v>50</v>
          </cell>
          <cell r="H18">
            <v>550</v>
          </cell>
        </row>
        <row r="19">
          <cell r="B19" t="str">
            <v>邓华军</v>
          </cell>
          <cell r="C19">
            <v>22</v>
          </cell>
          <cell r="D19">
            <v>20</v>
          </cell>
          <cell r="E19">
            <v>440</v>
          </cell>
          <cell r="F19">
            <v>1</v>
          </cell>
          <cell r="G19">
            <v>50</v>
          </cell>
          <cell r="H19">
            <v>50</v>
          </cell>
        </row>
        <row r="20">
          <cell r="B20" t="str">
            <v>刘俊</v>
          </cell>
          <cell r="C20">
            <v>22</v>
          </cell>
          <cell r="D20">
            <v>20</v>
          </cell>
          <cell r="E20">
            <v>440</v>
          </cell>
        </row>
        <row r="20">
          <cell r="G20">
            <v>50</v>
          </cell>
        </row>
        <row r="21">
          <cell r="B21" t="str">
            <v>罗亮</v>
          </cell>
          <cell r="C21">
            <v>22</v>
          </cell>
          <cell r="D21">
            <v>20</v>
          </cell>
          <cell r="E21">
            <v>440</v>
          </cell>
        </row>
        <row r="21">
          <cell r="G21">
            <v>50</v>
          </cell>
        </row>
        <row r="22">
          <cell r="B22" t="str">
            <v>蒋能嘉</v>
          </cell>
          <cell r="C22">
            <v>22</v>
          </cell>
          <cell r="D22">
            <v>20</v>
          </cell>
          <cell r="E22">
            <v>440</v>
          </cell>
          <cell r="F22">
            <v>18</v>
          </cell>
          <cell r="G22">
            <v>50</v>
          </cell>
          <cell r="H22">
            <v>900</v>
          </cell>
        </row>
        <row r="23">
          <cell r="B23" t="str">
            <v>易积忠</v>
          </cell>
          <cell r="C23">
            <v>22</v>
          </cell>
          <cell r="D23">
            <v>20</v>
          </cell>
          <cell r="E23">
            <v>440</v>
          </cell>
        </row>
        <row r="23">
          <cell r="G23">
            <v>50</v>
          </cell>
        </row>
        <row r="26">
          <cell r="F26" t="str">
            <v>制表：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9"/>
  <sheetViews>
    <sheetView zoomScale="85" zoomScaleNormal="85" workbookViewId="0">
      <selection activeCell="K17" sqref="K17"/>
    </sheetView>
  </sheetViews>
  <sheetFormatPr defaultColWidth="9" defaultRowHeight="15.6" outlineLevelCol="7"/>
  <cols>
    <col min="1" max="1" width="25" style="72" customWidth="1"/>
    <col min="2" max="2" width="15.75" style="72" customWidth="1"/>
    <col min="3" max="3" width="12.25" style="72" customWidth="1"/>
    <col min="4" max="4" width="16.6296296296296" style="72" customWidth="1"/>
    <col min="5" max="5" width="12.25" style="72" customWidth="1"/>
    <col min="6" max="6" width="17.1111111111111" style="72" customWidth="1"/>
    <col min="7" max="7" width="14.3796296296296" style="72" customWidth="1"/>
    <col min="8" max="8" width="7.12962962962963" style="72" customWidth="1"/>
    <col min="9" max="10" width="9" style="72" customWidth="1"/>
    <col min="11" max="11" width="16.1296296296296" style="72" customWidth="1"/>
    <col min="12" max="255" width="9" style="72" customWidth="1"/>
    <col min="256" max="16384" width="9" style="72"/>
  </cols>
  <sheetData>
    <row r="1" s="72" customFormat="1" ht="27.75" customHeight="1" spans="1:7">
      <c r="A1" s="134" t="s">
        <v>0</v>
      </c>
      <c r="B1" s="134"/>
      <c r="C1" s="134"/>
      <c r="D1" s="134"/>
      <c r="E1" s="134"/>
      <c r="F1" s="134"/>
      <c r="G1" s="74"/>
    </row>
    <row r="2" s="97" customFormat="1" ht="24" customHeight="1" spans="1:7">
      <c r="A2" s="75" t="s">
        <v>1</v>
      </c>
      <c r="B2" s="75"/>
      <c r="C2" s="77" t="s">
        <v>2</v>
      </c>
      <c r="D2" s="78">
        <v>45845</v>
      </c>
      <c r="E2" s="135"/>
      <c r="F2" s="80" t="s">
        <v>3</v>
      </c>
      <c r="G2" s="136"/>
    </row>
    <row r="3" s="72" customFormat="1" ht="29" customHeight="1" spans="1:7">
      <c r="A3" s="81" t="s">
        <v>4</v>
      </c>
      <c r="B3" s="82">
        <v>22</v>
      </c>
      <c r="C3" s="83" t="s">
        <v>5</v>
      </c>
      <c r="D3" s="84">
        <v>45809</v>
      </c>
      <c r="E3" s="83" t="s">
        <v>6</v>
      </c>
      <c r="F3" s="85">
        <f>ROUND(F13+F14+F15+F16+F17,2)</f>
        <v>79100</v>
      </c>
      <c r="G3" s="74"/>
    </row>
    <row r="4" s="72" customFormat="1" ht="20.25" customHeight="1" spans="1:7">
      <c r="A4" s="81" t="s">
        <v>7</v>
      </c>
      <c r="B4" s="86"/>
      <c r="C4" s="86"/>
      <c r="D4" s="86"/>
      <c r="E4" s="86"/>
      <c r="F4" s="86"/>
      <c r="G4" s="74"/>
    </row>
    <row r="5" s="72" customFormat="1" ht="20.25" customHeight="1" spans="1:7">
      <c r="A5" s="81" t="s">
        <v>8</v>
      </c>
      <c r="B5" s="86"/>
      <c r="C5" s="86"/>
      <c r="D5" s="86"/>
      <c r="E5" s="86"/>
      <c r="F5" s="86"/>
      <c r="G5" s="74"/>
    </row>
    <row r="6" s="72" customFormat="1" ht="20.25" customHeight="1" spans="1:7">
      <c r="A6" s="137"/>
      <c r="B6" s="138" t="s">
        <v>9</v>
      </c>
      <c r="C6" s="138"/>
      <c r="D6" s="138" t="s">
        <v>10</v>
      </c>
      <c r="E6" s="138"/>
      <c r="F6" s="139" t="s">
        <v>11</v>
      </c>
      <c r="G6" s="74"/>
    </row>
    <row r="7" s="72" customFormat="1" ht="20.25" customHeight="1" spans="1:7">
      <c r="A7" s="86" t="s">
        <v>12</v>
      </c>
      <c r="B7" s="140" t="s">
        <v>13</v>
      </c>
      <c r="C7" s="140">
        <f>'6月'!E28</f>
        <v>13096.32</v>
      </c>
      <c r="D7" s="140" t="s">
        <v>14</v>
      </c>
      <c r="E7" s="140">
        <f>'6月'!K28</f>
        <v>6548.16</v>
      </c>
      <c r="F7" s="140">
        <f>E7+C7</f>
        <v>19644.48</v>
      </c>
      <c r="G7" s="74"/>
    </row>
    <row r="8" s="72" customFormat="1" ht="20.25" customHeight="1" spans="1:7">
      <c r="A8" s="86" t="s">
        <v>15</v>
      </c>
      <c r="B8" s="141" t="s">
        <v>16</v>
      </c>
      <c r="C8" s="141">
        <f>'6月'!G28</f>
        <v>5994.37</v>
      </c>
      <c r="D8" s="141" t="s">
        <v>17</v>
      </c>
      <c r="E8" s="141">
        <f>'6月'!M28</f>
        <v>1378.02</v>
      </c>
      <c r="F8" s="140">
        <f>E8+C8</f>
        <v>7372.39</v>
      </c>
      <c r="G8" s="74"/>
    </row>
    <row r="9" s="72" customFormat="1" ht="20.25" customHeight="1" spans="1:7">
      <c r="A9" s="86" t="s">
        <v>18</v>
      </c>
      <c r="B9" s="141" t="s">
        <v>19</v>
      </c>
      <c r="C9" s="141">
        <f>'6月'!H28</f>
        <v>573.04</v>
      </c>
      <c r="D9" s="141" t="s">
        <v>20</v>
      </c>
      <c r="E9" s="141">
        <f>'6月'!L28</f>
        <v>245.48</v>
      </c>
      <c r="F9" s="140">
        <f>E9+C9</f>
        <v>818.52</v>
      </c>
      <c r="G9" s="74"/>
    </row>
    <row r="10" s="72" customFormat="1" ht="20.25" customHeight="1" spans="1:7">
      <c r="A10" s="86" t="s">
        <v>21</v>
      </c>
      <c r="B10" s="141" t="s">
        <v>22</v>
      </c>
      <c r="C10" s="141">
        <f>'6月'!F28</f>
        <v>491.15</v>
      </c>
      <c r="D10" s="141"/>
      <c r="E10" s="141"/>
      <c r="F10" s="140">
        <f>E10+C10</f>
        <v>491.15</v>
      </c>
      <c r="G10" s="74"/>
    </row>
    <row r="11" s="72" customFormat="1" ht="20.25" customHeight="1" spans="1:7">
      <c r="A11" s="86" t="s">
        <v>23</v>
      </c>
      <c r="B11" s="142"/>
      <c r="C11" s="142"/>
      <c r="D11" s="141" t="s">
        <v>24</v>
      </c>
      <c r="E11" s="141">
        <f>'6月'!N28</f>
        <v>255</v>
      </c>
      <c r="F11" s="140">
        <f>E11+C11</f>
        <v>255</v>
      </c>
      <c r="G11" s="74"/>
    </row>
    <row r="12" s="72" customFormat="1" ht="20.25" customHeight="1" spans="1:7">
      <c r="A12" s="86"/>
      <c r="B12" s="141"/>
      <c r="C12" s="141"/>
      <c r="D12" s="143"/>
      <c r="E12" s="141"/>
      <c r="F12" s="140"/>
      <c r="G12" s="74"/>
    </row>
    <row r="13" s="72" customFormat="1" ht="20.25" customHeight="1" spans="1:7">
      <c r="A13" s="81" t="s">
        <v>25</v>
      </c>
      <c r="B13" s="144"/>
      <c r="C13" s="141">
        <f>SUM(C7:C12)</f>
        <v>20154.88</v>
      </c>
      <c r="D13" s="141"/>
      <c r="E13" s="141">
        <f>SUM(E7:E12)</f>
        <v>8426.66</v>
      </c>
      <c r="F13" s="141">
        <f>SUM(F7:F12)</f>
        <v>28581.54</v>
      </c>
      <c r="G13" s="74"/>
    </row>
    <row r="14" s="72" customFormat="1" ht="20.25" customHeight="1" spans="1:7">
      <c r="A14" s="81" t="s">
        <v>26</v>
      </c>
      <c r="B14" s="144"/>
      <c r="C14" s="141"/>
      <c r="D14" s="141"/>
      <c r="E14" s="141"/>
      <c r="F14" s="141"/>
      <c r="G14" s="74"/>
    </row>
    <row r="15" s="72" customFormat="1" ht="20.25" customHeight="1" spans="1:7">
      <c r="A15" s="81" t="s">
        <v>27</v>
      </c>
      <c r="B15" s="144"/>
      <c r="C15" s="141"/>
      <c r="D15" s="145"/>
      <c r="E15" s="141"/>
      <c r="F15" s="141">
        <f>'6月'!R28</f>
        <v>49418.46</v>
      </c>
      <c r="G15" s="74"/>
    </row>
    <row r="16" s="72" customFormat="1" ht="20.25" customHeight="1" spans="1:7">
      <c r="A16" s="81" t="s">
        <v>28</v>
      </c>
      <c r="B16" s="144"/>
      <c r="C16" s="141"/>
      <c r="D16" s="146"/>
      <c r="E16" s="141"/>
      <c r="F16" s="141"/>
      <c r="G16" s="74"/>
    </row>
    <row r="17" s="72" customFormat="1" ht="20.25" customHeight="1" spans="1:7">
      <c r="A17" s="81" t="s">
        <v>29</v>
      </c>
      <c r="B17" s="86"/>
      <c r="C17" s="140"/>
      <c r="D17" s="81" t="s">
        <v>30</v>
      </c>
      <c r="E17" s="140" t="s">
        <v>31</v>
      </c>
      <c r="F17" s="140">
        <f>B3*50</f>
        <v>1100</v>
      </c>
      <c r="G17" s="74"/>
    </row>
    <row r="18" s="72" customFormat="1" ht="20.25" customHeight="1" spans="1:7">
      <c r="A18" s="81" t="s">
        <v>32</v>
      </c>
      <c r="B18" s="86"/>
      <c r="C18" s="140"/>
      <c r="D18" s="81"/>
      <c r="E18" s="140"/>
      <c r="F18" s="140"/>
      <c r="G18" s="74"/>
    </row>
    <row r="19" s="72" customFormat="1" ht="20.25" customHeight="1" spans="1:7">
      <c r="A19" s="94" t="s">
        <v>33</v>
      </c>
      <c r="B19" s="94" t="s">
        <v>34</v>
      </c>
      <c r="C19" s="95"/>
      <c r="D19" s="95"/>
      <c r="E19" s="94" t="s">
        <v>35</v>
      </c>
      <c r="F19" s="96" t="s">
        <v>36</v>
      </c>
      <c r="G19" s="74"/>
    </row>
    <row r="20" s="72" customFormat="1" ht="20.25" customHeight="1" spans="1:7">
      <c r="A20" s="96" t="s">
        <v>37</v>
      </c>
      <c r="B20" s="96"/>
      <c r="C20" s="96"/>
      <c r="D20" s="96"/>
      <c r="E20" s="96"/>
      <c r="F20" s="96"/>
      <c r="G20" s="74"/>
    </row>
    <row r="21" s="72" customFormat="1" ht="20.25" customHeight="1" spans="1:6">
      <c r="A21" s="97"/>
      <c r="B21" s="97"/>
      <c r="C21" s="97"/>
      <c r="D21" s="97"/>
      <c r="E21" s="97"/>
      <c r="F21" s="97"/>
    </row>
    <row r="22" s="72" customFormat="1" ht="22" customHeight="1" spans="1:8">
      <c r="A22" s="98" t="s">
        <v>38</v>
      </c>
      <c r="B22" s="99"/>
      <c r="C22" s="147"/>
      <c r="D22" s="101" t="s">
        <v>39</v>
      </c>
      <c r="E22" s="148" t="s">
        <v>40</v>
      </c>
      <c r="F22" s="103">
        <f>F13+F15</f>
        <v>78000</v>
      </c>
      <c r="G22" s="99"/>
      <c r="H22" s="99"/>
    </row>
    <row r="23" s="72" customFormat="1" ht="22" customHeight="1" spans="1:8">
      <c r="A23" s="98" t="s">
        <v>41</v>
      </c>
      <c r="B23" s="99"/>
      <c r="C23" s="147"/>
      <c r="D23" s="101"/>
      <c r="E23" s="149"/>
      <c r="F23" s="105">
        <f>F17</f>
        <v>1100</v>
      </c>
      <c r="G23" s="99"/>
      <c r="H23" s="99"/>
    </row>
    <row r="24" s="72" customFormat="1" ht="22" customHeight="1" spans="1:8">
      <c r="A24" s="98" t="s">
        <v>42</v>
      </c>
      <c r="B24" s="99"/>
      <c r="C24" s="147"/>
      <c r="D24" s="101"/>
      <c r="E24" s="106" t="s">
        <v>43</v>
      </c>
      <c r="F24" s="105">
        <f>SUM(F22:F23)</f>
        <v>79100</v>
      </c>
      <c r="G24" s="99"/>
      <c r="H24" s="99"/>
    </row>
    <row r="25" s="72" customFormat="1" ht="20.25" customHeight="1"/>
    <row r="26" s="72" customFormat="1" ht="20.25" customHeight="1"/>
    <row r="27" s="72" customFormat="1" ht="20.25" customHeight="1"/>
    <row r="28" s="72" customFormat="1" ht="20.25" customHeight="1"/>
    <row r="29" s="72" customFormat="1" ht="20.25" customHeight="1"/>
    <row r="30" s="72" customFormat="1" ht="20.25" customHeight="1"/>
    <row r="31" s="72" customFormat="1" ht="20.25" customHeight="1"/>
    <row r="32" s="72" customFormat="1" ht="20.25" customHeight="1"/>
    <row r="33" s="72" customFormat="1" spans="1:6">
      <c r="A33" s="77"/>
      <c r="B33" s="77"/>
      <c r="C33" s="77"/>
      <c r="D33" s="77"/>
      <c r="E33" s="77"/>
      <c r="F33" s="77"/>
    </row>
    <row r="34" s="72" customFormat="1" spans="1:6">
      <c r="A34" s="97"/>
      <c r="B34" s="97"/>
      <c r="C34" s="97"/>
      <c r="D34" s="97"/>
      <c r="E34" s="97"/>
      <c r="F34" s="97"/>
    </row>
    <row r="35" s="72" customFormat="1" ht="28.5" customHeight="1" spans="1:6">
      <c r="A35" s="107"/>
      <c r="B35" s="67"/>
      <c r="C35" s="67"/>
      <c r="D35" s="67"/>
      <c r="E35" s="67"/>
      <c r="F35" s="67"/>
    </row>
    <row r="36" s="72" customFormat="1" ht="18.75" customHeight="1" spans="1:6">
      <c r="A36" s="108"/>
      <c r="B36" s="108"/>
      <c r="C36" s="108"/>
      <c r="D36" s="108"/>
      <c r="E36" s="108"/>
      <c r="F36" s="108"/>
    </row>
    <row r="37" s="72" customFormat="1" spans="1:6">
      <c r="A37" s="109"/>
      <c r="B37" s="109"/>
      <c r="C37" s="109"/>
      <c r="D37" s="109"/>
      <c r="E37" s="109"/>
      <c r="F37" s="109"/>
    </row>
    <row r="38" s="72" customFormat="1" spans="1:6">
      <c r="A38" s="109"/>
      <c r="B38" s="109"/>
      <c r="C38" s="109"/>
      <c r="D38" s="109"/>
      <c r="E38" s="109"/>
      <c r="F38" s="109"/>
    </row>
    <row r="39" s="72" customFormat="1" spans="1:6">
      <c r="A39" s="109"/>
      <c r="B39" s="109"/>
      <c r="C39" s="109"/>
      <c r="D39" s="109"/>
      <c r="E39" s="109"/>
      <c r="F39" s="109"/>
    </row>
  </sheetData>
  <mergeCells count="16">
    <mergeCell ref="A1:F1"/>
    <mergeCell ref="A2:B2"/>
    <mergeCell ref="A4:F4"/>
    <mergeCell ref="B6:C6"/>
    <mergeCell ref="D6:E6"/>
    <mergeCell ref="C19:D19"/>
    <mergeCell ref="A20:F20"/>
    <mergeCell ref="A33:B33"/>
    <mergeCell ref="A34:F34"/>
    <mergeCell ref="A35:F35"/>
    <mergeCell ref="A36:F36"/>
    <mergeCell ref="A37:F37"/>
    <mergeCell ref="A38:F38"/>
    <mergeCell ref="A39:F39"/>
    <mergeCell ref="D22:D24"/>
    <mergeCell ref="E22:E23"/>
  </mergeCells>
  <printOptions horizontalCentered="1" verticalCentered="1"/>
  <pageMargins left="0.472222222222222" right="0.511805555555556" top="1" bottom="1" header="0.5" footer="0.5"/>
  <pageSetup paperSize="9" scale="92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WNQ40"/>
  <sheetViews>
    <sheetView zoomScale="70" zoomScaleNormal="70" workbookViewId="0">
      <pane xSplit="3" ySplit="5" topLeftCell="D27" activePane="bottomRight" state="frozen"/>
      <selection/>
      <selection pane="topRight"/>
      <selection pane="bottomLeft"/>
      <selection pane="bottomRight" activeCell="C27" sqref="C27"/>
    </sheetView>
  </sheetViews>
  <sheetFormatPr defaultColWidth="9" defaultRowHeight="20.4"/>
  <cols>
    <col min="1" max="1" width="6.05555555555556" style="110" customWidth="1"/>
    <col min="2" max="2" width="12.8796296296296" style="110" customWidth="1"/>
    <col min="3" max="3" width="27.037037037037" style="114" customWidth="1"/>
    <col min="4" max="4" width="14.7407407407407" style="110" customWidth="1"/>
    <col min="5" max="5" width="15.9444444444444" style="112" customWidth="1"/>
    <col min="6" max="8" width="13.462962962963" style="112" customWidth="1"/>
    <col min="9" max="10" width="16.3518518518519" style="112" customWidth="1"/>
    <col min="11" max="11" width="13.3796296296296" style="112" customWidth="1"/>
    <col min="12" max="12" width="12.6944444444444" style="112" customWidth="1"/>
    <col min="13" max="15" width="13.7314814814815" style="112" customWidth="1"/>
    <col min="16" max="16" width="15.1388888888889" style="110" customWidth="1"/>
    <col min="17" max="17" width="11.9074074074074" style="110" hidden="1" customWidth="1"/>
    <col min="18" max="18" width="18.1388888888889" style="111" customWidth="1"/>
    <col min="19" max="19" width="35" style="110" customWidth="1"/>
    <col min="20" max="20" width="18.5833333333333" style="110" hidden="1" customWidth="1"/>
    <col min="21" max="21" width="19.3888888888889" style="110" hidden="1" customWidth="1"/>
    <col min="22" max="22" width="13" style="110"/>
    <col min="23" max="15928" width="9" style="110"/>
    <col min="15929" max="15929" width="16.5555555555556" style="110"/>
    <col min="15930" max="16384" width="9" style="110"/>
  </cols>
  <sheetData>
    <row r="1" s="110" customFormat="1" ht="35" customHeight="1" spans="1:19">
      <c r="A1" s="115" t="s">
        <v>44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="110" customFormat="1" ht="31" customHeight="1" spans="1:19">
      <c r="A2" s="116" t="s">
        <v>45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</row>
    <row r="3" s="111" customFormat="1" ht="33" customHeight="1" spans="1:19">
      <c r="A3" s="117" t="s">
        <v>46</v>
      </c>
      <c r="B3" s="118" t="s">
        <v>47</v>
      </c>
      <c r="C3" s="119" t="s">
        <v>48</v>
      </c>
      <c r="D3" s="118" t="s">
        <v>49</v>
      </c>
      <c r="E3" s="120" t="s">
        <v>50</v>
      </c>
      <c r="F3" s="120"/>
      <c r="G3" s="120"/>
      <c r="H3" s="120"/>
      <c r="I3" s="118" t="s">
        <v>51</v>
      </c>
      <c r="J3" s="118" t="s">
        <v>52</v>
      </c>
      <c r="K3" s="120" t="s">
        <v>53</v>
      </c>
      <c r="L3" s="120"/>
      <c r="M3" s="120"/>
      <c r="N3" s="120"/>
      <c r="O3" s="118" t="s">
        <v>54</v>
      </c>
      <c r="P3" s="118" t="s">
        <v>55</v>
      </c>
      <c r="Q3" s="117" t="s">
        <v>56</v>
      </c>
      <c r="R3" s="117" t="s">
        <v>57</v>
      </c>
      <c r="S3" s="117" t="s">
        <v>58</v>
      </c>
    </row>
    <row r="4" s="111" customFormat="1" ht="31" customHeight="1" spans="1:19">
      <c r="A4" s="117"/>
      <c r="B4" s="118"/>
      <c r="C4" s="119"/>
      <c r="D4" s="118"/>
      <c r="E4" s="121" t="s">
        <v>59</v>
      </c>
      <c r="F4" s="121" t="s">
        <v>60</v>
      </c>
      <c r="G4" s="121" t="s">
        <v>61</v>
      </c>
      <c r="H4" s="121" t="s">
        <v>62</v>
      </c>
      <c r="I4" s="118"/>
      <c r="J4" s="118"/>
      <c r="K4" s="121" t="s">
        <v>59</v>
      </c>
      <c r="L4" s="121" t="s">
        <v>62</v>
      </c>
      <c r="M4" s="121" t="s">
        <v>61</v>
      </c>
      <c r="N4" s="121" t="s">
        <v>63</v>
      </c>
      <c r="O4" s="118"/>
      <c r="P4" s="118"/>
      <c r="Q4" s="117"/>
      <c r="R4" s="117"/>
      <c r="S4" s="117"/>
    </row>
    <row r="5" s="111" customFormat="1" ht="21" customHeight="1" spans="1:21">
      <c r="A5" s="117"/>
      <c r="B5" s="118"/>
      <c r="C5" s="119"/>
      <c r="D5" s="118"/>
      <c r="E5" s="122">
        <v>0.16</v>
      </c>
      <c r="F5" s="122">
        <v>0.007</v>
      </c>
      <c r="G5" s="122">
        <v>0.087</v>
      </c>
      <c r="H5" s="122">
        <v>0.0072</v>
      </c>
      <c r="I5" s="118"/>
      <c r="J5" s="118"/>
      <c r="K5" s="122">
        <v>0.08</v>
      </c>
      <c r="L5" s="122">
        <v>0.003</v>
      </c>
      <c r="M5" s="122">
        <v>0.02</v>
      </c>
      <c r="N5" s="118" t="s">
        <v>64</v>
      </c>
      <c r="O5" s="118"/>
      <c r="P5" s="118"/>
      <c r="Q5" s="117"/>
      <c r="R5" s="117"/>
      <c r="S5" s="117"/>
      <c r="T5" s="111" t="s">
        <v>65</v>
      </c>
      <c r="U5" s="111" t="s">
        <v>66</v>
      </c>
    </row>
    <row r="6" s="110" customFormat="1" ht="36" customHeight="1" spans="1:21">
      <c r="A6" s="123">
        <f>ROW()-5</f>
        <v>1</v>
      </c>
      <c r="B6" s="56" t="s">
        <v>67</v>
      </c>
      <c r="C6" s="124" t="s">
        <v>68</v>
      </c>
      <c r="D6" s="123">
        <v>3500</v>
      </c>
      <c r="E6" s="125">
        <f t="shared" ref="E6:E11" si="0">ROUND(4308*$E$5,2)</f>
        <v>689.28</v>
      </c>
      <c r="F6" s="125">
        <v>25.85</v>
      </c>
      <c r="G6" s="125">
        <f>ROUND(4053*$G$5,2)</f>
        <v>352.61</v>
      </c>
      <c r="H6" s="125">
        <v>30.16</v>
      </c>
      <c r="I6" s="131">
        <f>SUM(E6:H6)</f>
        <v>1097.9</v>
      </c>
      <c r="J6" s="131">
        <f>D6-I6</f>
        <v>2402.1</v>
      </c>
      <c r="K6" s="131">
        <f t="shared" ref="K6:K11" si="1">ROUND(4308*$K$5,2)</f>
        <v>344.64</v>
      </c>
      <c r="L6" s="131">
        <f t="shared" ref="L6:L11" si="2">ROUND(4308*$L$5,2)</f>
        <v>12.92</v>
      </c>
      <c r="M6" s="131">
        <f>ROUND(4053*$M$5,2)</f>
        <v>81.06</v>
      </c>
      <c r="N6" s="131">
        <f>ROUND(180/12,2)</f>
        <v>15</v>
      </c>
      <c r="O6" s="131">
        <f>SUM(K6:N6)</f>
        <v>453.62</v>
      </c>
      <c r="P6" s="131">
        <f>I6+O6</f>
        <v>1551.52</v>
      </c>
      <c r="Q6" s="129"/>
      <c r="R6" s="129">
        <f>D6-P6</f>
        <v>1948.48</v>
      </c>
      <c r="S6" s="117"/>
      <c r="T6" s="110">
        <f>VLOOKUP(B6,'工资表 '!B:G,6,0)</f>
        <v>1140</v>
      </c>
      <c r="U6" s="110">
        <f>T6+R6</f>
        <v>3088.48</v>
      </c>
    </row>
    <row r="7" s="110" customFormat="1" ht="36" customHeight="1" spans="1:21">
      <c r="A7" s="123">
        <f t="shared" ref="A7:A16" si="3">ROW()-5</f>
        <v>2</v>
      </c>
      <c r="B7" s="56" t="s">
        <v>69</v>
      </c>
      <c r="C7" s="150" t="s">
        <v>70</v>
      </c>
      <c r="D7" s="123">
        <v>3500</v>
      </c>
      <c r="E7" s="125">
        <f t="shared" si="0"/>
        <v>689.28</v>
      </c>
      <c r="F7" s="125">
        <v>25.85</v>
      </c>
      <c r="G7" s="125">
        <f>ROUND(4053*$G$5,2)</f>
        <v>352.61</v>
      </c>
      <c r="H7" s="125">
        <v>30.16</v>
      </c>
      <c r="I7" s="131">
        <f t="shared" ref="I7:I27" si="4">SUM(E7:H7)</f>
        <v>1097.9</v>
      </c>
      <c r="J7" s="131">
        <f>D7-I7</f>
        <v>2402.1</v>
      </c>
      <c r="K7" s="131">
        <f t="shared" si="1"/>
        <v>344.64</v>
      </c>
      <c r="L7" s="131">
        <f t="shared" si="2"/>
        <v>12.92</v>
      </c>
      <c r="M7" s="131">
        <f>ROUND(4053*$M$5,2)</f>
        <v>81.06</v>
      </c>
      <c r="N7" s="131">
        <f>ROUND(180/12,2)</f>
        <v>15</v>
      </c>
      <c r="O7" s="131">
        <f t="shared" ref="O7:O27" si="5">SUM(K7:N7)</f>
        <v>453.62</v>
      </c>
      <c r="P7" s="131">
        <f t="shared" ref="P7:P27" si="6">I7+O7</f>
        <v>1551.52</v>
      </c>
      <c r="Q7" s="129"/>
      <c r="R7" s="129">
        <f t="shared" ref="R7:R27" si="7">D7-P7</f>
        <v>1948.48</v>
      </c>
      <c r="S7" s="117"/>
      <c r="T7" s="110">
        <f>VLOOKUP(B7,'工资表 '!B:G,6,0)</f>
        <v>1240</v>
      </c>
      <c r="U7" s="110">
        <f t="shared" ref="U7:U27" si="8">T7+R7</f>
        <v>3188.48</v>
      </c>
    </row>
    <row r="8" s="110" customFormat="1" ht="36" customHeight="1" spans="1:21">
      <c r="A8" s="123">
        <f t="shared" si="3"/>
        <v>3</v>
      </c>
      <c r="B8" s="56" t="s">
        <v>71</v>
      </c>
      <c r="C8" s="124" t="s">
        <v>72</v>
      </c>
      <c r="D8" s="123">
        <v>3500</v>
      </c>
      <c r="E8" s="125">
        <f t="shared" si="0"/>
        <v>689.28</v>
      </c>
      <c r="F8" s="125">
        <v>25.85</v>
      </c>
      <c r="G8" s="125">
        <f>ROUND(4053*$G$5,2)</f>
        <v>352.61</v>
      </c>
      <c r="H8" s="125">
        <v>30.16</v>
      </c>
      <c r="I8" s="131">
        <f t="shared" si="4"/>
        <v>1097.9</v>
      </c>
      <c r="J8" s="131">
        <f t="shared" ref="J7:J27" si="9">D8-I8</f>
        <v>2402.1</v>
      </c>
      <c r="K8" s="131">
        <f t="shared" si="1"/>
        <v>344.64</v>
      </c>
      <c r="L8" s="131">
        <f t="shared" si="2"/>
        <v>12.92</v>
      </c>
      <c r="M8" s="131">
        <f>ROUND(4053*$M$5,2)</f>
        <v>81.06</v>
      </c>
      <c r="N8" s="131">
        <f>ROUND(180/12,2)</f>
        <v>15</v>
      </c>
      <c r="O8" s="131">
        <f t="shared" si="5"/>
        <v>453.62</v>
      </c>
      <c r="P8" s="131">
        <f t="shared" si="6"/>
        <v>1551.52</v>
      </c>
      <c r="Q8" s="129"/>
      <c r="R8" s="129">
        <f t="shared" si="7"/>
        <v>1948.48</v>
      </c>
      <c r="S8" s="117"/>
      <c r="T8" s="110">
        <f>VLOOKUP(B8,'工资表 '!B:G,6,0)</f>
        <v>1140</v>
      </c>
      <c r="U8" s="110">
        <f t="shared" si="8"/>
        <v>3088.48</v>
      </c>
    </row>
    <row r="9" s="112" customFormat="1" ht="36" customHeight="1" spans="1:22">
      <c r="A9" s="123">
        <f t="shared" si="3"/>
        <v>4</v>
      </c>
      <c r="B9" s="56" t="s">
        <v>73</v>
      </c>
      <c r="C9" s="124" t="s">
        <v>74</v>
      </c>
      <c r="D9" s="123">
        <v>3500</v>
      </c>
      <c r="E9" s="125">
        <f t="shared" si="0"/>
        <v>689.28</v>
      </c>
      <c r="F9" s="125">
        <v>25.85</v>
      </c>
      <c r="G9" s="125">
        <f>ROUND(4053*$G$5,2)</f>
        <v>352.61</v>
      </c>
      <c r="H9" s="125">
        <v>30.16</v>
      </c>
      <c r="I9" s="131">
        <f t="shared" si="4"/>
        <v>1097.9</v>
      </c>
      <c r="J9" s="131">
        <f t="shared" si="9"/>
        <v>2402.1</v>
      </c>
      <c r="K9" s="131">
        <f t="shared" si="1"/>
        <v>344.64</v>
      </c>
      <c r="L9" s="131">
        <f t="shared" si="2"/>
        <v>12.92</v>
      </c>
      <c r="M9" s="131">
        <f>ROUND(4053*$M$5,2)</f>
        <v>81.06</v>
      </c>
      <c r="N9" s="131">
        <f>ROUND(180/12,2)</f>
        <v>15</v>
      </c>
      <c r="O9" s="131">
        <f t="shared" si="5"/>
        <v>453.62</v>
      </c>
      <c r="P9" s="131">
        <f t="shared" si="6"/>
        <v>1551.52</v>
      </c>
      <c r="Q9" s="131"/>
      <c r="R9" s="129">
        <f t="shared" si="7"/>
        <v>1948.48</v>
      </c>
      <c r="S9" s="117"/>
      <c r="T9" s="110">
        <f>VLOOKUP(B9,'工资表 '!B:G,6,0)</f>
        <v>1390</v>
      </c>
      <c r="U9" s="110">
        <f t="shared" si="8"/>
        <v>3338.48</v>
      </c>
      <c r="V9" s="110"/>
    </row>
    <row r="10" s="113" customFormat="1" ht="36" customHeight="1" spans="1:22">
      <c r="A10" s="123">
        <f t="shared" si="3"/>
        <v>5</v>
      </c>
      <c r="B10" s="61" t="s">
        <v>75</v>
      </c>
      <c r="C10" s="126" t="s">
        <v>76</v>
      </c>
      <c r="D10" s="123">
        <v>3500</v>
      </c>
      <c r="E10" s="125">
        <f t="shared" si="0"/>
        <v>689.28</v>
      </c>
      <c r="F10" s="125">
        <v>25.85</v>
      </c>
      <c r="G10" s="127"/>
      <c r="H10" s="125">
        <v>30.16</v>
      </c>
      <c r="I10" s="131">
        <f t="shared" si="4"/>
        <v>745.29</v>
      </c>
      <c r="J10" s="131">
        <f t="shared" si="9"/>
        <v>2754.71</v>
      </c>
      <c r="K10" s="131">
        <f t="shared" si="1"/>
        <v>344.64</v>
      </c>
      <c r="L10" s="131">
        <f t="shared" si="2"/>
        <v>12.92</v>
      </c>
      <c r="M10" s="127"/>
      <c r="N10" s="127"/>
      <c r="O10" s="131">
        <f t="shared" si="5"/>
        <v>357.56</v>
      </c>
      <c r="P10" s="131">
        <f t="shared" si="6"/>
        <v>1102.85</v>
      </c>
      <c r="Q10" s="127"/>
      <c r="R10" s="129">
        <f t="shared" si="7"/>
        <v>2397.15</v>
      </c>
      <c r="S10" s="132" t="s">
        <v>77</v>
      </c>
      <c r="T10" s="110">
        <f>VLOOKUP(B10,'工资表 '!B:G,6,0)</f>
        <v>840</v>
      </c>
      <c r="U10" s="110">
        <f t="shared" si="8"/>
        <v>3237.15</v>
      </c>
      <c r="V10" s="110"/>
    </row>
    <row r="11" s="110" customFormat="1" ht="36" customHeight="1" spans="1:21">
      <c r="A11" s="123">
        <f t="shared" si="3"/>
        <v>6</v>
      </c>
      <c r="B11" s="56" t="s">
        <v>78</v>
      </c>
      <c r="C11" s="124" t="s">
        <v>79</v>
      </c>
      <c r="D11" s="123">
        <v>3500</v>
      </c>
      <c r="E11" s="125">
        <f t="shared" si="0"/>
        <v>689.28</v>
      </c>
      <c r="F11" s="125">
        <v>25.85</v>
      </c>
      <c r="G11" s="125">
        <f>ROUND(4053*$G$5,2)</f>
        <v>352.61</v>
      </c>
      <c r="H11" s="125">
        <v>30.16</v>
      </c>
      <c r="I11" s="131">
        <f t="shared" si="4"/>
        <v>1097.9</v>
      </c>
      <c r="J11" s="131">
        <f t="shared" si="9"/>
        <v>2402.1</v>
      </c>
      <c r="K11" s="131">
        <f t="shared" si="1"/>
        <v>344.64</v>
      </c>
      <c r="L11" s="131">
        <f t="shared" si="2"/>
        <v>12.92</v>
      </c>
      <c r="M11" s="131">
        <f>ROUND(4053*$M$5,2)</f>
        <v>81.06</v>
      </c>
      <c r="N11" s="131">
        <f>ROUND(180/12,2)</f>
        <v>15</v>
      </c>
      <c r="O11" s="131">
        <f t="shared" si="5"/>
        <v>453.62</v>
      </c>
      <c r="P11" s="131">
        <f t="shared" si="6"/>
        <v>1551.52</v>
      </c>
      <c r="Q11" s="129"/>
      <c r="R11" s="129">
        <f t="shared" si="7"/>
        <v>1948.48</v>
      </c>
      <c r="S11" s="117"/>
      <c r="T11" s="110">
        <f>VLOOKUP(B11,'工资表 '!B:G,6,0)</f>
        <v>990</v>
      </c>
      <c r="U11" s="110">
        <f t="shared" si="8"/>
        <v>2938.48</v>
      </c>
    </row>
    <row r="12" s="113" customFormat="1" ht="36" customHeight="1" spans="1:22">
      <c r="A12" s="123">
        <f t="shared" si="3"/>
        <v>7</v>
      </c>
      <c r="B12" s="61" t="s">
        <v>80</v>
      </c>
      <c r="C12" s="126" t="s">
        <v>81</v>
      </c>
      <c r="D12" s="123">
        <v>3500</v>
      </c>
      <c r="E12" s="127"/>
      <c r="F12" s="127"/>
      <c r="G12" s="127"/>
      <c r="H12" s="127"/>
      <c r="I12" s="131">
        <f t="shared" si="4"/>
        <v>0</v>
      </c>
      <c r="J12" s="131">
        <f t="shared" si="9"/>
        <v>3500</v>
      </c>
      <c r="K12" s="127"/>
      <c r="L12" s="127"/>
      <c r="M12" s="127"/>
      <c r="N12" s="127"/>
      <c r="O12" s="131">
        <f t="shared" si="5"/>
        <v>0</v>
      </c>
      <c r="P12" s="131">
        <f t="shared" si="6"/>
        <v>0</v>
      </c>
      <c r="Q12" s="127"/>
      <c r="R12" s="129">
        <f t="shared" si="7"/>
        <v>3500</v>
      </c>
      <c r="S12" s="132" t="s">
        <v>82</v>
      </c>
      <c r="T12" s="110">
        <f>VLOOKUP(B12,'工资表 '!B:G,6,0)</f>
        <v>890</v>
      </c>
      <c r="U12" s="110">
        <f t="shared" si="8"/>
        <v>4390</v>
      </c>
      <c r="V12" s="110"/>
    </row>
    <row r="13" s="110" customFormat="1" ht="36" customHeight="1" spans="1:21">
      <c r="A13" s="123">
        <f t="shared" si="3"/>
        <v>8</v>
      </c>
      <c r="B13" s="56" t="s">
        <v>83</v>
      </c>
      <c r="C13" s="124" t="s">
        <v>84</v>
      </c>
      <c r="D13" s="123">
        <v>4000</v>
      </c>
      <c r="E13" s="125">
        <f>ROUND(4308*$E$5,2)</f>
        <v>689.28</v>
      </c>
      <c r="F13" s="125">
        <v>25.85</v>
      </c>
      <c r="G13" s="125">
        <f>ROUND(4053*$G$5,2)</f>
        <v>352.61</v>
      </c>
      <c r="H13" s="125">
        <v>30.16</v>
      </c>
      <c r="I13" s="131">
        <f t="shared" si="4"/>
        <v>1097.9</v>
      </c>
      <c r="J13" s="131">
        <f t="shared" si="9"/>
        <v>2902.1</v>
      </c>
      <c r="K13" s="131">
        <f>ROUND(4308*$K$5,2)</f>
        <v>344.64</v>
      </c>
      <c r="L13" s="131">
        <f>ROUND(4308*$L$5,2)</f>
        <v>12.92</v>
      </c>
      <c r="M13" s="131">
        <f>ROUND(4053*$M$5,2)</f>
        <v>81.06</v>
      </c>
      <c r="N13" s="131">
        <f>ROUND(180/12,2)</f>
        <v>15</v>
      </c>
      <c r="O13" s="131">
        <f t="shared" si="5"/>
        <v>453.62</v>
      </c>
      <c r="P13" s="131">
        <f t="shared" si="6"/>
        <v>1551.52</v>
      </c>
      <c r="Q13" s="131"/>
      <c r="R13" s="129">
        <f t="shared" si="7"/>
        <v>2448.48</v>
      </c>
      <c r="S13" s="117"/>
      <c r="T13" s="110">
        <f>VLOOKUP(B13,'工资表 '!B:G,6,0)</f>
        <v>1590</v>
      </c>
      <c r="U13" s="110">
        <f t="shared" si="8"/>
        <v>4038.48</v>
      </c>
    </row>
    <row r="14" s="113" customFormat="1" ht="36" customHeight="1" spans="1:22">
      <c r="A14" s="123">
        <f t="shared" si="3"/>
        <v>9</v>
      </c>
      <c r="B14" s="61" t="s">
        <v>85</v>
      </c>
      <c r="C14" s="126" t="s">
        <v>86</v>
      </c>
      <c r="D14" s="123">
        <v>3500</v>
      </c>
      <c r="E14" s="127"/>
      <c r="F14" s="127"/>
      <c r="G14" s="127"/>
      <c r="H14" s="127"/>
      <c r="I14" s="131">
        <f t="shared" si="4"/>
        <v>0</v>
      </c>
      <c r="J14" s="131">
        <f t="shared" si="9"/>
        <v>3500</v>
      </c>
      <c r="K14" s="127"/>
      <c r="L14" s="127"/>
      <c r="M14" s="127"/>
      <c r="N14" s="127"/>
      <c r="O14" s="131">
        <f t="shared" si="5"/>
        <v>0</v>
      </c>
      <c r="P14" s="131">
        <f t="shared" si="6"/>
        <v>0</v>
      </c>
      <c r="Q14" s="127"/>
      <c r="R14" s="129">
        <f t="shared" si="7"/>
        <v>3500</v>
      </c>
      <c r="S14" s="132" t="s">
        <v>87</v>
      </c>
      <c r="T14" s="110">
        <f>VLOOKUP(B14,'工资表 '!B:G,6,0)</f>
        <v>740</v>
      </c>
      <c r="U14" s="110">
        <f t="shared" si="8"/>
        <v>4240</v>
      </c>
      <c r="V14" s="110"/>
    </row>
    <row r="15" s="110" customFormat="1" ht="36" customHeight="1" spans="1:21">
      <c r="A15" s="123">
        <f t="shared" si="3"/>
        <v>10</v>
      </c>
      <c r="B15" s="56" t="s">
        <v>88</v>
      </c>
      <c r="C15" s="124" t="s">
        <v>89</v>
      </c>
      <c r="D15" s="123">
        <v>3500</v>
      </c>
      <c r="E15" s="125">
        <f t="shared" ref="E15:E26" si="10">ROUND(4308*$E$5,2)</f>
        <v>689.28</v>
      </c>
      <c r="F15" s="125">
        <v>25.85</v>
      </c>
      <c r="G15" s="125">
        <f>ROUND(4053*$G$5,2)</f>
        <v>352.61</v>
      </c>
      <c r="H15" s="125">
        <v>30.16</v>
      </c>
      <c r="I15" s="131">
        <f t="shared" si="4"/>
        <v>1097.9</v>
      </c>
      <c r="J15" s="131">
        <f t="shared" si="9"/>
        <v>2402.1</v>
      </c>
      <c r="K15" s="131">
        <f t="shared" ref="K15:K26" si="11">ROUND(4308*$K$5,2)</f>
        <v>344.64</v>
      </c>
      <c r="L15" s="131">
        <f t="shared" ref="L15:L26" si="12">ROUND(4308*$L$5,2)</f>
        <v>12.92</v>
      </c>
      <c r="M15" s="131">
        <f>ROUND(4053*$M$5,2)</f>
        <v>81.06</v>
      </c>
      <c r="N15" s="131">
        <f>ROUND(180/12,2)</f>
        <v>15</v>
      </c>
      <c r="O15" s="131">
        <f t="shared" si="5"/>
        <v>453.62</v>
      </c>
      <c r="P15" s="131">
        <f t="shared" si="6"/>
        <v>1551.52</v>
      </c>
      <c r="Q15" s="131"/>
      <c r="R15" s="129">
        <f t="shared" si="7"/>
        <v>1948.48</v>
      </c>
      <c r="S15" s="117"/>
      <c r="T15" s="110">
        <f>VLOOKUP(B15,'工资表 '!B:G,6,0)</f>
        <v>990</v>
      </c>
      <c r="U15" s="110">
        <f t="shared" si="8"/>
        <v>2938.48</v>
      </c>
    </row>
    <row r="16" s="110" customFormat="1" ht="36" customHeight="1" spans="1:21">
      <c r="A16" s="123">
        <f t="shared" si="3"/>
        <v>11</v>
      </c>
      <c r="B16" s="56" t="s">
        <v>90</v>
      </c>
      <c r="C16" s="124" t="s">
        <v>91</v>
      </c>
      <c r="D16" s="123">
        <v>3500</v>
      </c>
      <c r="E16" s="125">
        <f t="shared" si="10"/>
        <v>689.28</v>
      </c>
      <c r="F16" s="125">
        <v>25.85</v>
      </c>
      <c r="G16" s="125">
        <f>ROUND(4053*$G$5,2)</f>
        <v>352.61</v>
      </c>
      <c r="H16" s="125">
        <v>30.16</v>
      </c>
      <c r="I16" s="131">
        <f t="shared" si="4"/>
        <v>1097.9</v>
      </c>
      <c r="J16" s="131">
        <f t="shared" si="9"/>
        <v>2402.1</v>
      </c>
      <c r="K16" s="131">
        <f t="shared" si="11"/>
        <v>344.64</v>
      </c>
      <c r="L16" s="131">
        <f t="shared" si="12"/>
        <v>12.92</v>
      </c>
      <c r="M16" s="131">
        <f>ROUND(4053*$M$5,2)</f>
        <v>81.06</v>
      </c>
      <c r="N16" s="131">
        <f>ROUND(180/12,2)</f>
        <v>15</v>
      </c>
      <c r="O16" s="131">
        <f t="shared" si="5"/>
        <v>453.62</v>
      </c>
      <c r="P16" s="131">
        <f t="shared" si="6"/>
        <v>1551.52</v>
      </c>
      <c r="Q16" s="131"/>
      <c r="R16" s="129">
        <f t="shared" si="7"/>
        <v>1948.48</v>
      </c>
      <c r="S16" s="117"/>
      <c r="T16" s="110">
        <f>VLOOKUP(B16,'工资表 '!B:G,6,0)</f>
        <v>590</v>
      </c>
      <c r="U16" s="110">
        <f t="shared" si="8"/>
        <v>2538.48</v>
      </c>
    </row>
    <row r="17" s="110" customFormat="1" ht="36" customHeight="1" spans="1:21">
      <c r="A17" s="123">
        <f t="shared" ref="A17:A27" si="13">ROW()-5</f>
        <v>12</v>
      </c>
      <c r="B17" s="56" t="s">
        <v>92</v>
      </c>
      <c r="C17" s="150" t="s">
        <v>93</v>
      </c>
      <c r="D17" s="123">
        <v>3500</v>
      </c>
      <c r="E17" s="125">
        <f t="shared" si="10"/>
        <v>689.28</v>
      </c>
      <c r="F17" s="125">
        <v>25.85</v>
      </c>
      <c r="G17" s="125">
        <f>ROUND(4053*$G$5,2)</f>
        <v>352.61</v>
      </c>
      <c r="H17" s="125">
        <v>30.16</v>
      </c>
      <c r="I17" s="131">
        <f t="shared" si="4"/>
        <v>1097.9</v>
      </c>
      <c r="J17" s="131">
        <f t="shared" si="9"/>
        <v>2402.1</v>
      </c>
      <c r="K17" s="131">
        <f t="shared" si="11"/>
        <v>344.64</v>
      </c>
      <c r="L17" s="131">
        <f t="shared" si="12"/>
        <v>12.92</v>
      </c>
      <c r="M17" s="131">
        <f>ROUND(4053*$M$5,2)</f>
        <v>81.06</v>
      </c>
      <c r="N17" s="131">
        <f>ROUND(180/12,2)</f>
        <v>15</v>
      </c>
      <c r="O17" s="131">
        <f t="shared" si="5"/>
        <v>453.62</v>
      </c>
      <c r="P17" s="131">
        <f t="shared" si="6"/>
        <v>1551.52</v>
      </c>
      <c r="Q17" s="131"/>
      <c r="R17" s="129">
        <f t="shared" si="7"/>
        <v>1948.48</v>
      </c>
      <c r="S17" s="117"/>
      <c r="T17" s="110">
        <f>VLOOKUP(B17,'工资表 '!B:G,6,0)</f>
        <v>940</v>
      </c>
      <c r="U17" s="110">
        <f t="shared" si="8"/>
        <v>2888.48</v>
      </c>
    </row>
    <row r="18" s="112" customFormat="1" ht="36" customHeight="1" spans="1:22">
      <c r="A18" s="123">
        <f t="shared" si="13"/>
        <v>13</v>
      </c>
      <c r="B18" s="56" t="s">
        <v>94</v>
      </c>
      <c r="C18" s="150" t="s">
        <v>95</v>
      </c>
      <c r="D18" s="123">
        <v>3500</v>
      </c>
      <c r="E18" s="125">
        <f t="shared" si="10"/>
        <v>689.28</v>
      </c>
      <c r="F18" s="125">
        <v>25.85</v>
      </c>
      <c r="G18" s="125">
        <f>ROUND(4053*$G$5,2)</f>
        <v>352.61</v>
      </c>
      <c r="H18" s="125">
        <v>30.16</v>
      </c>
      <c r="I18" s="131">
        <f t="shared" si="4"/>
        <v>1097.9</v>
      </c>
      <c r="J18" s="131">
        <f t="shared" si="9"/>
        <v>2402.1</v>
      </c>
      <c r="K18" s="131">
        <f t="shared" si="11"/>
        <v>344.64</v>
      </c>
      <c r="L18" s="131">
        <f t="shared" si="12"/>
        <v>12.92</v>
      </c>
      <c r="M18" s="131">
        <f>ROUND(4053*$M$5,2)</f>
        <v>81.06</v>
      </c>
      <c r="N18" s="131">
        <f>ROUND(180/12,2)</f>
        <v>15</v>
      </c>
      <c r="O18" s="131">
        <f t="shared" si="5"/>
        <v>453.62</v>
      </c>
      <c r="P18" s="131">
        <f t="shared" si="6"/>
        <v>1551.52</v>
      </c>
      <c r="Q18" s="131"/>
      <c r="R18" s="129">
        <f t="shared" si="7"/>
        <v>1948.48</v>
      </c>
      <c r="S18" s="118"/>
      <c r="T18" s="110">
        <f>VLOOKUP(B18,'工资表 '!B:G,6,0)</f>
        <v>2490</v>
      </c>
      <c r="U18" s="110">
        <f t="shared" si="8"/>
        <v>4438.48</v>
      </c>
      <c r="V18" s="110"/>
    </row>
    <row r="19" s="113" customFormat="1" ht="36" customHeight="1" spans="1:22">
      <c r="A19" s="123">
        <f t="shared" si="13"/>
        <v>14</v>
      </c>
      <c r="B19" s="61" t="s">
        <v>96</v>
      </c>
      <c r="C19" s="151" t="s">
        <v>97</v>
      </c>
      <c r="D19" s="123">
        <v>3500</v>
      </c>
      <c r="E19" s="125">
        <f t="shared" si="10"/>
        <v>689.28</v>
      </c>
      <c r="F19" s="125">
        <v>25.85</v>
      </c>
      <c r="G19" s="127"/>
      <c r="H19" s="125">
        <v>30.16</v>
      </c>
      <c r="I19" s="131">
        <f t="shared" si="4"/>
        <v>745.29</v>
      </c>
      <c r="J19" s="131">
        <f t="shared" si="9"/>
        <v>2754.71</v>
      </c>
      <c r="K19" s="131">
        <f t="shared" si="11"/>
        <v>344.64</v>
      </c>
      <c r="L19" s="131">
        <f t="shared" si="12"/>
        <v>12.92</v>
      </c>
      <c r="M19" s="127"/>
      <c r="N19" s="127"/>
      <c r="O19" s="131">
        <f t="shared" si="5"/>
        <v>357.56</v>
      </c>
      <c r="P19" s="131">
        <f t="shared" si="6"/>
        <v>1102.85</v>
      </c>
      <c r="Q19" s="127"/>
      <c r="R19" s="129">
        <f t="shared" si="7"/>
        <v>2397.15</v>
      </c>
      <c r="S19" s="132" t="s">
        <v>98</v>
      </c>
      <c r="T19" s="110">
        <f>VLOOKUP(B19,'工资表 '!B:G,6,0)</f>
        <v>1490</v>
      </c>
      <c r="U19" s="110">
        <f t="shared" si="8"/>
        <v>3887.15</v>
      </c>
      <c r="V19" s="110"/>
    </row>
    <row r="20" s="110" customFormat="1" ht="36" customHeight="1" spans="1:21">
      <c r="A20" s="123">
        <f t="shared" si="13"/>
        <v>15</v>
      </c>
      <c r="B20" s="56" t="s">
        <v>99</v>
      </c>
      <c r="C20" s="150" t="s">
        <v>100</v>
      </c>
      <c r="D20" s="123">
        <v>3500</v>
      </c>
      <c r="E20" s="125">
        <f t="shared" si="10"/>
        <v>689.28</v>
      </c>
      <c r="F20" s="125">
        <v>25.85</v>
      </c>
      <c r="G20" s="125">
        <f t="shared" ref="G20:G26" si="14">ROUND(4053*$G$5,2)</f>
        <v>352.61</v>
      </c>
      <c r="H20" s="125">
        <v>30.16</v>
      </c>
      <c r="I20" s="131">
        <f t="shared" si="4"/>
        <v>1097.9</v>
      </c>
      <c r="J20" s="131">
        <f t="shared" si="9"/>
        <v>2402.1</v>
      </c>
      <c r="K20" s="131">
        <f t="shared" si="11"/>
        <v>344.64</v>
      </c>
      <c r="L20" s="131">
        <f t="shared" si="12"/>
        <v>12.92</v>
      </c>
      <c r="M20" s="131">
        <f t="shared" ref="M20:M26" si="15">ROUND(4053*$M$5,2)</f>
        <v>81.06</v>
      </c>
      <c r="N20" s="131">
        <f t="shared" ref="N20:N26" si="16">ROUND(180/12,2)</f>
        <v>15</v>
      </c>
      <c r="O20" s="131">
        <f t="shared" si="5"/>
        <v>453.62</v>
      </c>
      <c r="P20" s="131">
        <f t="shared" si="6"/>
        <v>1551.52</v>
      </c>
      <c r="Q20" s="129"/>
      <c r="R20" s="129">
        <f t="shared" si="7"/>
        <v>1948.48</v>
      </c>
      <c r="S20" s="117"/>
      <c r="T20" s="110">
        <f>VLOOKUP(B20,'工资表 '!B:G,6,0)</f>
        <v>300</v>
      </c>
      <c r="U20" s="110">
        <f t="shared" si="8"/>
        <v>2248.48</v>
      </c>
    </row>
    <row r="21" s="112" customFormat="1" ht="36" customHeight="1" spans="1:22">
      <c r="A21" s="123">
        <f t="shared" si="13"/>
        <v>16</v>
      </c>
      <c r="B21" s="61" t="s">
        <v>101</v>
      </c>
      <c r="C21" s="152" t="s">
        <v>102</v>
      </c>
      <c r="D21" s="123">
        <v>3500</v>
      </c>
      <c r="E21" s="125">
        <f t="shared" si="10"/>
        <v>689.28</v>
      </c>
      <c r="F21" s="125">
        <v>25.85</v>
      </c>
      <c r="G21" s="125">
        <f t="shared" si="14"/>
        <v>352.61</v>
      </c>
      <c r="H21" s="125">
        <v>30.16</v>
      </c>
      <c r="I21" s="131">
        <f t="shared" si="4"/>
        <v>1097.9</v>
      </c>
      <c r="J21" s="131">
        <f t="shared" si="9"/>
        <v>2402.1</v>
      </c>
      <c r="K21" s="131">
        <f t="shared" si="11"/>
        <v>344.64</v>
      </c>
      <c r="L21" s="131">
        <f t="shared" si="12"/>
        <v>12.92</v>
      </c>
      <c r="M21" s="131">
        <f t="shared" si="15"/>
        <v>81.06</v>
      </c>
      <c r="N21" s="131">
        <f t="shared" si="16"/>
        <v>15</v>
      </c>
      <c r="O21" s="131">
        <f t="shared" si="5"/>
        <v>453.62</v>
      </c>
      <c r="P21" s="131">
        <f t="shared" si="6"/>
        <v>1551.52</v>
      </c>
      <c r="Q21" s="131"/>
      <c r="R21" s="129">
        <f t="shared" si="7"/>
        <v>1948.48</v>
      </c>
      <c r="S21" s="118"/>
      <c r="T21" s="110">
        <f>VLOOKUP(B21,'工资表 '!B:G,6,0)</f>
        <v>150</v>
      </c>
      <c r="U21" s="110">
        <f t="shared" si="8"/>
        <v>2098.48</v>
      </c>
      <c r="V21" s="110"/>
    </row>
    <row r="22" s="112" customFormat="1" ht="36" customHeight="1" spans="1:22">
      <c r="A22" s="123">
        <f t="shared" si="13"/>
        <v>17</v>
      </c>
      <c r="B22" s="61" t="s">
        <v>103</v>
      </c>
      <c r="C22" s="152" t="s">
        <v>104</v>
      </c>
      <c r="D22" s="123">
        <v>4000</v>
      </c>
      <c r="E22" s="125">
        <f t="shared" si="10"/>
        <v>689.28</v>
      </c>
      <c r="F22" s="125">
        <v>25.85</v>
      </c>
      <c r="G22" s="125">
        <f t="shared" si="14"/>
        <v>352.61</v>
      </c>
      <c r="H22" s="125">
        <v>30.16</v>
      </c>
      <c r="I22" s="131">
        <f t="shared" si="4"/>
        <v>1097.9</v>
      </c>
      <c r="J22" s="131">
        <f t="shared" si="9"/>
        <v>2902.1</v>
      </c>
      <c r="K22" s="131">
        <f t="shared" si="11"/>
        <v>344.64</v>
      </c>
      <c r="L22" s="131">
        <f t="shared" si="12"/>
        <v>12.92</v>
      </c>
      <c r="M22" s="131">
        <f t="shared" si="15"/>
        <v>81.06</v>
      </c>
      <c r="N22" s="131">
        <f t="shared" si="16"/>
        <v>15</v>
      </c>
      <c r="O22" s="131">
        <f t="shared" si="5"/>
        <v>453.62</v>
      </c>
      <c r="P22" s="131">
        <f t="shared" si="6"/>
        <v>1551.52</v>
      </c>
      <c r="Q22" s="127"/>
      <c r="R22" s="129">
        <f t="shared" si="7"/>
        <v>2448.48</v>
      </c>
      <c r="S22" s="121"/>
      <c r="T22" s="110">
        <f>VLOOKUP(B22,'工资表 '!B:G,6,0)</f>
        <v>840</v>
      </c>
      <c r="U22" s="110">
        <f t="shared" si="8"/>
        <v>3288.48</v>
      </c>
      <c r="V22" s="110"/>
    </row>
    <row r="23" s="112" customFormat="1" ht="36" customHeight="1" spans="1:22">
      <c r="A23" s="123">
        <f t="shared" si="13"/>
        <v>18</v>
      </c>
      <c r="B23" s="61" t="s">
        <v>105</v>
      </c>
      <c r="C23" s="152" t="s">
        <v>106</v>
      </c>
      <c r="D23" s="123">
        <v>3500</v>
      </c>
      <c r="E23" s="125">
        <f t="shared" si="10"/>
        <v>689.28</v>
      </c>
      <c r="F23" s="125">
        <v>25.85</v>
      </c>
      <c r="G23" s="125">
        <f t="shared" si="14"/>
        <v>352.61</v>
      </c>
      <c r="H23" s="125">
        <v>30.16</v>
      </c>
      <c r="I23" s="131">
        <f t="shared" si="4"/>
        <v>1097.9</v>
      </c>
      <c r="J23" s="131">
        <f t="shared" si="9"/>
        <v>2402.1</v>
      </c>
      <c r="K23" s="131">
        <f t="shared" si="11"/>
        <v>344.64</v>
      </c>
      <c r="L23" s="131">
        <f t="shared" si="12"/>
        <v>12.92</v>
      </c>
      <c r="M23" s="131">
        <f t="shared" si="15"/>
        <v>81.06</v>
      </c>
      <c r="N23" s="131">
        <f t="shared" si="16"/>
        <v>15</v>
      </c>
      <c r="O23" s="131">
        <f t="shared" si="5"/>
        <v>453.62</v>
      </c>
      <c r="P23" s="131">
        <f t="shared" si="6"/>
        <v>1551.52</v>
      </c>
      <c r="Q23" s="127"/>
      <c r="R23" s="129">
        <f t="shared" si="7"/>
        <v>1948.48</v>
      </c>
      <c r="S23" s="121"/>
      <c r="T23" s="110">
        <f>VLOOKUP(B23,'工资表 '!B:G,6,0)</f>
        <v>490</v>
      </c>
      <c r="U23" s="110">
        <f t="shared" si="8"/>
        <v>2438.48</v>
      </c>
      <c r="V23" s="110"/>
    </row>
    <row r="24" s="112" customFormat="1" ht="36" customHeight="1" spans="1:22">
      <c r="A24" s="123">
        <f t="shared" si="13"/>
        <v>19</v>
      </c>
      <c r="B24" s="61" t="s">
        <v>107</v>
      </c>
      <c r="C24" s="152" t="s">
        <v>108</v>
      </c>
      <c r="D24" s="123">
        <v>3500</v>
      </c>
      <c r="E24" s="125">
        <f t="shared" si="10"/>
        <v>689.28</v>
      </c>
      <c r="F24" s="125">
        <v>25.85</v>
      </c>
      <c r="G24" s="125">
        <f t="shared" si="14"/>
        <v>352.61</v>
      </c>
      <c r="H24" s="125">
        <v>30.16</v>
      </c>
      <c r="I24" s="131">
        <f t="shared" si="4"/>
        <v>1097.9</v>
      </c>
      <c r="J24" s="131">
        <f t="shared" si="9"/>
        <v>2402.1</v>
      </c>
      <c r="K24" s="131">
        <f t="shared" si="11"/>
        <v>344.64</v>
      </c>
      <c r="L24" s="131">
        <f t="shared" si="12"/>
        <v>12.92</v>
      </c>
      <c r="M24" s="131">
        <f t="shared" si="15"/>
        <v>81.06</v>
      </c>
      <c r="N24" s="131">
        <f t="shared" si="16"/>
        <v>15</v>
      </c>
      <c r="O24" s="131">
        <f t="shared" si="5"/>
        <v>453.62</v>
      </c>
      <c r="P24" s="131">
        <f t="shared" si="6"/>
        <v>1551.52</v>
      </c>
      <c r="Q24" s="127"/>
      <c r="R24" s="129">
        <f t="shared" si="7"/>
        <v>1948.48</v>
      </c>
      <c r="S24" s="118"/>
      <c r="T24" s="110">
        <f>VLOOKUP(B24,'工资表 '!B:G,6,0)</f>
        <v>490</v>
      </c>
      <c r="U24" s="110">
        <f t="shared" si="8"/>
        <v>2438.48</v>
      </c>
      <c r="V24" s="110"/>
    </row>
    <row r="25" s="112" customFormat="1" ht="36" customHeight="1" spans="1:22">
      <c r="A25" s="123">
        <f t="shared" si="13"/>
        <v>20</v>
      </c>
      <c r="B25" s="61" t="s">
        <v>109</v>
      </c>
      <c r="C25" s="152" t="s">
        <v>110</v>
      </c>
      <c r="D25" s="123">
        <v>3500</v>
      </c>
      <c r="E25" s="125">
        <f t="shared" si="10"/>
        <v>689.28</v>
      </c>
      <c r="F25" s="125">
        <v>25.85</v>
      </c>
      <c r="G25" s="125">
        <f t="shared" si="14"/>
        <v>352.61</v>
      </c>
      <c r="H25" s="125">
        <v>30.16</v>
      </c>
      <c r="I25" s="131">
        <f t="shared" si="4"/>
        <v>1097.9</v>
      </c>
      <c r="J25" s="131">
        <f t="shared" si="9"/>
        <v>2402.1</v>
      </c>
      <c r="K25" s="131">
        <f t="shared" si="11"/>
        <v>344.64</v>
      </c>
      <c r="L25" s="131">
        <f t="shared" si="12"/>
        <v>12.92</v>
      </c>
      <c r="M25" s="131">
        <f t="shared" si="15"/>
        <v>81.06</v>
      </c>
      <c r="N25" s="131">
        <f t="shared" si="16"/>
        <v>15</v>
      </c>
      <c r="O25" s="131">
        <f t="shared" si="5"/>
        <v>453.62</v>
      </c>
      <c r="P25" s="131">
        <f t="shared" si="6"/>
        <v>1551.52</v>
      </c>
      <c r="Q25" s="127"/>
      <c r="R25" s="129">
        <f t="shared" si="7"/>
        <v>1948.48</v>
      </c>
      <c r="S25" s="118"/>
      <c r="T25" s="110"/>
      <c r="U25" s="110"/>
      <c r="V25" s="110"/>
    </row>
    <row r="26" s="110" customFormat="1" ht="45" customHeight="1" spans="1:21">
      <c r="A26" s="123">
        <f t="shared" si="13"/>
        <v>21</v>
      </c>
      <c r="B26" s="123" t="s">
        <v>111</v>
      </c>
      <c r="C26" s="150" t="s">
        <v>112</v>
      </c>
      <c r="D26" s="123">
        <v>3500</v>
      </c>
      <c r="E26" s="125">
        <f t="shared" si="10"/>
        <v>689.28</v>
      </c>
      <c r="F26" s="125">
        <v>25.85</v>
      </c>
      <c r="G26" s="125">
        <f t="shared" si="14"/>
        <v>352.61</v>
      </c>
      <c r="H26" s="125">
        <v>30.16</v>
      </c>
      <c r="I26" s="131">
        <f t="shared" si="4"/>
        <v>1097.9</v>
      </c>
      <c r="J26" s="131">
        <f t="shared" si="9"/>
        <v>2402.1</v>
      </c>
      <c r="K26" s="131">
        <f t="shared" si="11"/>
        <v>344.64</v>
      </c>
      <c r="L26" s="131">
        <f t="shared" si="12"/>
        <v>12.92</v>
      </c>
      <c r="M26" s="131">
        <f t="shared" si="15"/>
        <v>81.06</v>
      </c>
      <c r="N26" s="131">
        <f t="shared" si="16"/>
        <v>15</v>
      </c>
      <c r="O26" s="131">
        <f t="shared" si="5"/>
        <v>453.62</v>
      </c>
      <c r="P26" s="131">
        <f t="shared" si="6"/>
        <v>1551.52</v>
      </c>
      <c r="Q26" s="127"/>
      <c r="R26" s="129">
        <f t="shared" si="7"/>
        <v>1948.48</v>
      </c>
      <c r="S26" s="129"/>
      <c r="T26" s="133"/>
      <c r="U26" s="133"/>
    </row>
    <row r="27" s="110" customFormat="1" ht="45" customHeight="1" spans="1:21">
      <c r="A27" s="123">
        <f t="shared" si="13"/>
        <v>22</v>
      </c>
      <c r="B27" s="123" t="s">
        <v>113</v>
      </c>
      <c r="C27" s="150" t="s">
        <v>114</v>
      </c>
      <c r="D27" s="123">
        <v>3500</v>
      </c>
      <c r="E27" s="129"/>
      <c r="F27" s="129"/>
      <c r="G27" s="129"/>
      <c r="H27" s="129"/>
      <c r="I27" s="129">
        <v>0</v>
      </c>
      <c r="J27" s="131">
        <f t="shared" si="9"/>
        <v>3500</v>
      </c>
      <c r="K27" s="129"/>
      <c r="L27" s="129"/>
      <c r="M27" s="129"/>
      <c r="N27" s="129"/>
      <c r="O27" s="131">
        <f t="shared" si="5"/>
        <v>0</v>
      </c>
      <c r="P27" s="131">
        <f t="shared" si="6"/>
        <v>0</v>
      </c>
      <c r="Q27" s="127"/>
      <c r="R27" s="129">
        <f t="shared" si="7"/>
        <v>3500</v>
      </c>
      <c r="S27" s="129" t="s">
        <v>115</v>
      </c>
      <c r="T27" s="133"/>
      <c r="U27" s="133"/>
    </row>
    <row r="28" s="110" customFormat="1" ht="45" customHeight="1" spans="1:15929">
      <c r="A28" s="123" t="s">
        <v>116</v>
      </c>
      <c r="B28" s="123"/>
      <c r="C28" s="124"/>
      <c r="D28" s="129">
        <f>SUM(D6:D27)</f>
        <v>78000</v>
      </c>
      <c r="E28" s="129">
        <f>SUM(E6:E27)</f>
        <v>13096.32</v>
      </c>
      <c r="F28" s="129">
        <f t="shared" ref="E28:R28" si="17">SUM(F6:F27)</f>
        <v>491.15</v>
      </c>
      <c r="G28" s="129">
        <f t="shared" si="17"/>
        <v>5994.37</v>
      </c>
      <c r="H28" s="129">
        <f t="shared" si="17"/>
        <v>573.04</v>
      </c>
      <c r="I28" s="129">
        <f t="shared" si="17"/>
        <v>20154.88</v>
      </c>
      <c r="J28" s="129">
        <f t="shared" si="17"/>
        <v>57845.12</v>
      </c>
      <c r="K28" s="129">
        <f t="shared" si="17"/>
        <v>6548.16</v>
      </c>
      <c r="L28" s="129">
        <f t="shared" si="17"/>
        <v>245.48</v>
      </c>
      <c r="M28" s="129">
        <f t="shared" si="17"/>
        <v>1378.02</v>
      </c>
      <c r="N28" s="129">
        <f t="shared" si="17"/>
        <v>255</v>
      </c>
      <c r="O28" s="129">
        <f t="shared" si="17"/>
        <v>8426.66</v>
      </c>
      <c r="P28" s="129">
        <f t="shared" si="17"/>
        <v>28581.54</v>
      </c>
      <c r="Q28" s="129">
        <f t="shared" si="17"/>
        <v>0</v>
      </c>
      <c r="R28" s="129">
        <f t="shared" si="17"/>
        <v>49418.46</v>
      </c>
      <c r="S28" s="129"/>
      <c r="T28" s="129">
        <f>SUM(T6:T24)</f>
        <v>18730</v>
      </c>
      <c r="U28" s="129">
        <f>SUM(U6:U24)</f>
        <v>60751.5</v>
      </c>
      <c r="WNQ28" s="110">
        <f>SUM(A28:WNP28)</f>
        <v>350489.7</v>
      </c>
    </row>
    <row r="29" s="110" customFormat="1" ht="34" customHeight="1" spans="3:21">
      <c r="C29" s="114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R29" s="111"/>
      <c r="T29" s="110" t="b">
        <f>'车补+加班'!G26='工资表 '!G28</f>
        <v>1</v>
      </c>
      <c r="U29" s="110" t="b">
        <f>U28='工资表 '!N28</f>
        <v>0</v>
      </c>
    </row>
    <row r="30" s="110" customFormat="1" ht="30" customHeight="1" spans="1:18">
      <c r="A30" s="130" t="s">
        <v>117</v>
      </c>
      <c r="C30" s="114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R30" s="111"/>
    </row>
    <row r="31" s="110" customFormat="1" ht="30" customHeight="1" spans="3:18">
      <c r="C31" s="114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R31" s="111"/>
    </row>
    <row r="32" s="110" customFormat="1" ht="30" customHeight="1" spans="3:18">
      <c r="C32" s="114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R32" s="111"/>
    </row>
    <row r="33" s="110" customFormat="1" ht="30" customHeight="1" spans="3:18">
      <c r="C33" s="114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R33" s="111"/>
    </row>
    <row r="34" ht="30" customHeight="1"/>
    <row r="36" hidden="1" spans="5:16">
      <c r="E36" s="68">
        <f>COUNT(E6:E25)</f>
        <v>18</v>
      </c>
      <c r="F36" s="68">
        <f t="shared" ref="F36:N36" si="18">COUNT(F6:F25)</f>
        <v>18</v>
      </c>
      <c r="G36" s="68">
        <f t="shared" si="18"/>
        <v>16</v>
      </c>
      <c r="H36" s="68">
        <f t="shared" si="18"/>
        <v>18</v>
      </c>
      <c r="I36" s="68">
        <f t="shared" si="18"/>
        <v>20</v>
      </c>
      <c r="J36" s="68">
        <f t="shared" si="18"/>
        <v>20</v>
      </c>
      <c r="K36" s="68">
        <f t="shared" si="18"/>
        <v>18</v>
      </c>
      <c r="L36" s="68">
        <f t="shared" si="18"/>
        <v>18</v>
      </c>
      <c r="M36" s="68">
        <f t="shared" si="18"/>
        <v>16</v>
      </c>
      <c r="N36" s="68">
        <f t="shared" si="18"/>
        <v>16</v>
      </c>
      <c r="O36" s="68"/>
      <c r="P36" s="68"/>
    </row>
    <row r="37" ht="30" customHeight="1"/>
    <row r="38" ht="30" customHeight="1"/>
    <row r="39" ht="30" customHeight="1"/>
    <row r="40" ht="30" customHeight="1"/>
  </sheetData>
  <mergeCells count="16">
    <mergeCell ref="A1:S1"/>
    <mergeCell ref="A2:S2"/>
    <mergeCell ref="E3:H3"/>
    <mergeCell ref="K3:N3"/>
    <mergeCell ref="A28:C28"/>
    <mergeCell ref="A3:A5"/>
    <mergeCell ref="B3:B5"/>
    <mergeCell ref="C3:C5"/>
    <mergeCell ref="D3:D5"/>
    <mergeCell ref="I3:I5"/>
    <mergeCell ref="J3:J5"/>
    <mergeCell ref="O3:O5"/>
    <mergeCell ref="P3:P5"/>
    <mergeCell ref="Q3:Q5"/>
    <mergeCell ref="R3:R5"/>
    <mergeCell ref="S3:S5"/>
  </mergeCells>
  <conditionalFormatting sqref="G11">
    <cfRule type="cellIs" dxfId="0" priority="30" operator="equal">
      <formula>0</formula>
    </cfRule>
  </conditionalFormatting>
  <conditionalFormatting sqref="E13">
    <cfRule type="cellIs" dxfId="0" priority="22" operator="equal">
      <formula>0</formula>
    </cfRule>
  </conditionalFormatting>
  <conditionalFormatting sqref="F13">
    <cfRule type="cellIs" dxfId="0" priority="6" operator="equal">
      <formula>0</formula>
    </cfRule>
  </conditionalFormatting>
  <conditionalFormatting sqref="G13">
    <cfRule type="cellIs" dxfId="0" priority="21" operator="equal">
      <formula>0</formula>
    </cfRule>
  </conditionalFormatting>
  <conditionalFormatting sqref="H13">
    <cfRule type="cellIs" dxfId="0" priority="8" operator="equal">
      <formula>0</formula>
    </cfRule>
  </conditionalFormatting>
  <conditionalFormatting sqref="E26">
    <cfRule type="cellIs" dxfId="0" priority="4" operator="equal">
      <formula>0</formula>
    </cfRule>
  </conditionalFormatting>
  <conditionalFormatting sqref="F26">
    <cfRule type="cellIs" dxfId="0" priority="1" operator="equal">
      <formula>0</formula>
    </cfRule>
  </conditionalFormatting>
  <conditionalFormatting sqref="G26">
    <cfRule type="cellIs" dxfId="0" priority="3" operator="equal">
      <formula>0</formula>
    </cfRule>
  </conditionalFormatting>
  <conditionalFormatting sqref="H26">
    <cfRule type="cellIs" dxfId="0" priority="2" operator="equal">
      <formula>0</formula>
    </cfRule>
  </conditionalFormatting>
  <conditionalFormatting sqref="E15:E19">
    <cfRule type="cellIs" dxfId="0" priority="20" operator="equal">
      <formula>0</formula>
    </cfRule>
  </conditionalFormatting>
  <conditionalFormatting sqref="E20:E24">
    <cfRule type="cellIs" dxfId="0" priority="18" operator="equal">
      <formula>0</formula>
    </cfRule>
  </conditionalFormatting>
  <conditionalFormatting sqref="F6:F11">
    <cfRule type="cellIs" dxfId="0" priority="12" operator="equal">
      <formula>0</formula>
    </cfRule>
  </conditionalFormatting>
  <conditionalFormatting sqref="G15:G18">
    <cfRule type="cellIs" dxfId="0" priority="19" operator="equal">
      <formula>0</formula>
    </cfRule>
  </conditionalFormatting>
  <conditionalFormatting sqref="G20:G24">
    <cfRule type="cellIs" dxfId="0" priority="17" operator="equal">
      <formula>0</formula>
    </cfRule>
  </conditionalFormatting>
  <conditionalFormatting sqref="H6:H11">
    <cfRule type="cellIs" dxfId="0" priority="9" operator="equal">
      <formula>0</formula>
    </cfRule>
  </conditionalFormatting>
  <conditionalFormatting sqref="E6:E11 G6:G9">
    <cfRule type="cellIs" dxfId="0" priority="68" operator="equal">
      <formula>0</formula>
    </cfRule>
  </conditionalFormatting>
  <conditionalFormatting sqref="F15:F25 F27">
    <cfRule type="cellIs" dxfId="0" priority="5" operator="equal">
      <formula>0</formula>
    </cfRule>
  </conditionalFormatting>
  <conditionalFormatting sqref="H15:H25 H27">
    <cfRule type="cellIs" dxfId="0" priority="7" operator="equal">
      <formula>0</formula>
    </cfRule>
  </conditionalFormatting>
  <conditionalFormatting sqref="E25 E27">
    <cfRule type="cellIs" dxfId="0" priority="16" operator="equal">
      <formula>0</formula>
    </cfRule>
  </conditionalFormatting>
  <conditionalFormatting sqref="G25 G27">
    <cfRule type="cellIs" dxfId="0" priority="15" operator="equal">
      <formula>0</formula>
    </cfRule>
  </conditionalFormatting>
  <printOptions horizontalCentered="1" verticalCentered="1"/>
  <pageMargins left="0.118055555555556" right="0.156944444444444" top="0.236111111111111" bottom="0.472222222222222" header="0.156944444444444" footer="0.354166666666667"/>
  <pageSetup paperSize="9" scale="5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H32"/>
  <sheetViews>
    <sheetView workbookViewId="0">
      <selection activeCell="E3" sqref="E3"/>
    </sheetView>
  </sheetViews>
  <sheetFormatPr defaultColWidth="9" defaultRowHeight="15.6" outlineLevelCol="7"/>
  <cols>
    <col min="1" max="1" width="22.6111111111111" style="72" customWidth="1"/>
    <col min="2" max="2" width="15.287037037037" style="72" customWidth="1"/>
    <col min="3" max="3" width="9.26851851851852" style="72" customWidth="1"/>
    <col min="4" max="4" width="14.1111111111111" style="72" customWidth="1"/>
    <col min="5" max="5" width="10.8425925925926" style="72" customWidth="1"/>
    <col min="6" max="6" width="14.1111111111111" style="72" customWidth="1"/>
    <col min="7" max="7" width="14.3796296296296" style="72" customWidth="1"/>
    <col min="8" max="8" width="7.12962962962963" style="72" customWidth="1"/>
    <col min="9" max="10" width="9" style="72" customWidth="1"/>
    <col min="11" max="11" width="16.1296296296296" style="72" customWidth="1"/>
    <col min="12" max="255" width="9" style="72" customWidth="1"/>
    <col min="256" max="16384" width="9" style="72"/>
  </cols>
  <sheetData>
    <row r="1" s="72" customFormat="1" ht="27.75" customHeight="1" spans="1:7">
      <c r="A1" s="73" t="s">
        <v>0</v>
      </c>
      <c r="B1" s="73"/>
      <c r="C1" s="73"/>
      <c r="D1" s="73"/>
      <c r="E1" s="73"/>
      <c r="F1" s="73"/>
      <c r="G1" s="74"/>
    </row>
    <row r="2" s="72" customFormat="1" ht="23" customHeight="1" spans="1:7">
      <c r="A2" s="75" t="s">
        <v>1</v>
      </c>
      <c r="B2" s="76"/>
      <c r="C2" s="77" t="s">
        <v>2</v>
      </c>
      <c r="D2" s="78">
        <v>45845</v>
      </c>
      <c r="E2" s="79"/>
      <c r="F2" s="80" t="s">
        <v>3</v>
      </c>
      <c r="G2" s="74"/>
    </row>
    <row r="3" s="72" customFormat="1" ht="34" customHeight="1" spans="1:7">
      <c r="A3" s="81" t="s">
        <v>4</v>
      </c>
      <c r="B3" s="82">
        <v>22</v>
      </c>
      <c r="C3" s="83" t="s">
        <v>5</v>
      </c>
      <c r="D3" s="84">
        <v>45809</v>
      </c>
      <c r="E3" s="83" t="s">
        <v>6</v>
      </c>
      <c r="F3" s="85">
        <f>F14+F16</f>
        <v>20715.1</v>
      </c>
      <c r="G3" s="74"/>
    </row>
    <row r="4" s="72" customFormat="1" ht="20.25" customHeight="1" spans="1:7">
      <c r="A4" s="81" t="s">
        <v>7</v>
      </c>
      <c r="B4" s="86"/>
      <c r="C4" s="86"/>
      <c r="D4" s="86"/>
      <c r="E4" s="86"/>
      <c r="F4" s="86"/>
      <c r="G4" s="74"/>
    </row>
    <row r="5" s="72" customFormat="1" ht="20.25" customHeight="1" spans="1:7">
      <c r="A5" s="81" t="s">
        <v>118</v>
      </c>
      <c r="B5" s="87" t="s">
        <v>119</v>
      </c>
      <c r="C5" s="88"/>
      <c r="D5" s="89">
        <f>'车补+加班'!C26</f>
        <v>3850</v>
      </c>
      <c r="E5" s="90"/>
      <c r="F5" s="90">
        <f>D5+E5</f>
        <v>3850</v>
      </c>
      <c r="G5" s="74"/>
    </row>
    <row r="6" s="72" customFormat="1" ht="20.25" customHeight="1" spans="1:7">
      <c r="A6" s="81" t="s">
        <v>120</v>
      </c>
      <c r="B6" s="87" t="s">
        <v>121</v>
      </c>
      <c r="C6" s="88"/>
      <c r="D6" s="90">
        <f>'车补+加班'!D26</f>
        <v>8360</v>
      </c>
      <c r="E6" s="90"/>
      <c r="F6" s="90">
        <f>D6+E6</f>
        <v>8360</v>
      </c>
      <c r="G6" s="74"/>
    </row>
    <row r="7" s="72" customFormat="1" ht="20.25" customHeight="1" spans="1:7">
      <c r="A7" s="81" t="s">
        <v>122</v>
      </c>
      <c r="B7" s="87" t="s">
        <v>121</v>
      </c>
      <c r="C7" s="88"/>
      <c r="D7" s="90">
        <f>'车补+加班'!E26</f>
        <v>6300</v>
      </c>
      <c r="E7" s="90"/>
      <c r="F7" s="90">
        <f>D7+E7</f>
        <v>6300</v>
      </c>
      <c r="G7" s="74"/>
    </row>
    <row r="8" s="72" customFormat="1" ht="20.25" customHeight="1" spans="1:7">
      <c r="A8" s="81" t="s">
        <v>123</v>
      </c>
      <c r="B8" s="87" t="s">
        <v>121</v>
      </c>
      <c r="C8" s="88"/>
      <c r="D8" s="90">
        <f>'车补+加班'!F26</f>
        <v>2000</v>
      </c>
      <c r="E8" s="90"/>
      <c r="F8" s="90">
        <f>D8+E8</f>
        <v>2000</v>
      </c>
      <c r="G8" s="74"/>
    </row>
    <row r="9" s="72" customFormat="1" ht="20.25" customHeight="1" spans="1:7">
      <c r="A9" s="81" t="s">
        <v>124</v>
      </c>
      <c r="B9" s="87" t="s">
        <v>125</v>
      </c>
      <c r="C9" s="88">
        <v>0.01</v>
      </c>
      <c r="D9" s="91">
        <f>(D5+D6+D7+D8)*0.01</f>
        <v>205.1</v>
      </c>
      <c r="E9" s="90"/>
      <c r="F9" s="90">
        <f>D9+E9</f>
        <v>205.1</v>
      </c>
      <c r="G9" s="74"/>
    </row>
    <row r="10" s="72" customFormat="1" ht="20.25" customHeight="1" spans="1:7">
      <c r="A10" s="81" t="s">
        <v>126</v>
      </c>
      <c r="B10" s="92"/>
      <c r="C10" s="88"/>
      <c r="D10" s="93">
        <f>SUM(D5:D9)</f>
        <v>20715.1</v>
      </c>
      <c r="E10" s="93"/>
      <c r="F10" s="90">
        <f>SUM(F5:F9)</f>
        <v>20715.1</v>
      </c>
      <c r="G10" s="74"/>
    </row>
    <row r="11" s="72" customFormat="1" ht="20.25" customHeight="1" spans="1:7">
      <c r="A11" s="94" t="s">
        <v>33</v>
      </c>
      <c r="B11" s="94" t="s">
        <v>34</v>
      </c>
      <c r="C11" s="95"/>
      <c r="D11" s="95"/>
      <c r="E11" s="94" t="s">
        <v>35</v>
      </c>
      <c r="F11" s="96" t="s">
        <v>36</v>
      </c>
      <c r="G11" s="74"/>
    </row>
    <row r="12" s="72" customFormat="1" ht="20.25" customHeight="1" spans="1:7">
      <c r="A12" s="96" t="s">
        <v>37</v>
      </c>
      <c r="B12" s="96"/>
      <c r="C12" s="96"/>
      <c r="D12" s="96"/>
      <c r="E12" s="96"/>
      <c r="F12" s="96"/>
      <c r="G12" s="74"/>
    </row>
    <row r="13" s="72" customFormat="1" ht="20.25" customHeight="1" spans="1:6">
      <c r="A13" s="97"/>
      <c r="B13" s="97"/>
      <c r="C13" s="97"/>
      <c r="D13" s="97"/>
      <c r="E13" s="97"/>
      <c r="F13" s="97"/>
    </row>
    <row r="14" s="72" customFormat="1" ht="22" customHeight="1" spans="1:8">
      <c r="A14" s="98" t="s">
        <v>38</v>
      </c>
      <c r="B14" s="99"/>
      <c r="C14" s="100"/>
      <c r="D14" s="101" t="s">
        <v>39</v>
      </c>
      <c r="E14" s="102" t="s">
        <v>40</v>
      </c>
      <c r="F14" s="103">
        <f>F5+F6+F7+F8</f>
        <v>20510</v>
      </c>
      <c r="G14" s="99"/>
      <c r="H14" s="99"/>
    </row>
    <row r="15" s="72" customFormat="1" ht="22" customHeight="1" spans="1:8">
      <c r="A15" s="98" t="s">
        <v>41</v>
      </c>
      <c r="B15" s="99"/>
      <c r="C15" s="99"/>
      <c r="D15" s="101"/>
      <c r="E15" s="102"/>
      <c r="F15" s="104"/>
      <c r="G15" s="99"/>
      <c r="H15" s="99"/>
    </row>
    <row r="16" s="72" customFormat="1" ht="22" customHeight="1" spans="1:8">
      <c r="A16" s="98" t="s">
        <v>42</v>
      </c>
      <c r="B16" s="99"/>
      <c r="C16" s="100"/>
      <c r="D16" s="101"/>
      <c r="E16" s="102"/>
      <c r="F16" s="105">
        <f>F9</f>
        <v>205.1</v>
      </c>
      <c r="G16" s="99"/>
      <c r="H16" s="99"/>
    </row>
    <row r="17" s="72" customFormat="1" ht="20.25" customHeight="1" spans="4:6">
      <c r="D17" s="101"/>
      <c r="E17" s="106" t="s">
        <v>43</v>
      </c>
      <c r="F17" s="105">
        <f>F14+F16</f>
        <v>20715.1</v>
      </c>
    </row>
    <row r="18" s="72" customFormat="1" ht="20.25" customHeight="1"/>
    <row r="19" s="72" customFormat="1" ht="20.25" customHeight="1"/>
    <row r="20" s="72" customFormat="1" ht="20.25" customHeight="1"/>
    <row r="21" s="72" customFormat="1" ht="20.25" customHeight="1"/>
    <row r="22" s="72" customFormat="1" ht="20.25" customHeight="1"/>
    <row r="23" s="72" customFormat="1" ht="20.25" customHeight="1"/>
    <row r="24" s="72" customFormat="1" ht="20.25" customHeight="1"/>
    <row r="25" s="72" customFormat="1" ht="20.25" customHeight="1"/>
    <row r="26" s="72" customFormat="1" spans="1:6">
      <c r="A26" s="77"/>
      <c r="B26" s="77"/>
      <c r="C26" s="77"/>
      <c r="D26" s="77"/>
      <c r="E26" s="77"/>
      <c r="F26" s="77"/>
    </row>
    <row r="27" s="72" customFormat="1" spans="1:6">
      <c r="A27" s="97"/>
      <c r="B27" s="97"/>
      <c r="C27" s="97"/>
      <c r="D27" s="97"/>
      <c r="E27" s="97"/>
      <c r="F27" s="97"/>
    </row>
    <row r="28" s="72" customFormat="1" ht="28.5" customHeight="1" spans="1:6">
      <c r="A28" s="107"/>
      <c r="B28" s="67"/>
      <c r="C28" s="67"/>
      <c r="D28" s="67"/>
      <c r="E28" s="67"/>
      <c r="F28" s="67"/>
    </row>
    <row r="29" s="72" customFormat="1" ht="18.75" customHeight="1" spans="1:6">
      <c r="A29" s="108"/>
      <c r="B29" s="108"/>
      <c r="C29" s="108"/>
      <c r="D29" s="108"/>
      <c r="E29" s="108"/>
      <c r="F29" s="108"/>
    </row>
    <row r="30" s="72" customFormat="1" spans="1:6">
      <c r="A30" s="109"/>
      <c r="B30" s="109"/>
      <c r="C30" s="109"/>
      <c r="D30" s="109"/>
      <c r="E30" s="109"/>
      <c r="F30" s="109"/>
    </row>
    <row r="31" s="72" customFormat="1" spans="1:6">
      <c r="A31" s="109"/>
      <c r="B31" s="109"/>
      <c r="C31" s="109"/>
      <c r="D31" s="109"/>
      <c r="E31" s="109"/>
      <c r="F31" s="109"/>
    </row>
    <row r="32" s="72" customFormat="1" spans="1:6">
      <c r="A32" s="109"/>
      <c r="B32" s="109"/>
      <c r="C32" s="109"/>
      <c r="D32" s="109"/>
      <c r="E32" s="109"/>
      <c r="F32" s="109"/>
    </row>
  </sheetData>
  <mergeCells count="15">
    <mergeCell ref="A1:F1"/>
    <mergeCell ref="A2:B2"/>
    <mergeCell ref="A4:F4"/>
    <mergeCell ref="C11:D11"/>
    <mergeCell ref="A12:F12"/>
    <mergeCell ref="A26:B26"/>
    <mergeCell ref="A27:F27"/>
    <mergeCell ref="A28:F28"/>
    <mergeCell ref="A29:F29"/>
    <mergeCell ref="A30:F30"/>
    <mergeCell ref="A31:F31"/>
    <mergeCell ref="A32:F32"/>
    <mergeCell ref="D14:D17"/>
    <mergeCell ref="E14:E16"/>
    <mergeCell ref="F14:F15"/>
  </mergeCells>
  <pageMargins left="0.786805555555556" right="0.75" top="1" bottom="1" header="0.5" footer="0.5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J37"/>
  <sheetViews>
    <sheetView zoomScale="55" zoomScaleNormal="55" workbookViewId="0">
      <pane xSplit="1" ySplit="3" topLeftCell="B4" activePane="bottomRight" state="frozen"/>
      <selection/>
      <selection pane="topRight"/>
      <selection pane="bottomLeft"/>
      <selection pane="bottomRight" activeCell="L17" sqref="L17"/>
    </sheetView>
  </sheetViews>
  <sheetFormatPr defaultColWidth="8.88888888888889" defaultRowHeight="37" customHeight="1"/>
  <cols>
    <col min="1" max="1" width="8.88888888888889" style="53"/>
    <col min="2" max="3" width="19.5925925925926" style="53" customWidth="1"/>
    <col min="4" max="7" width="16.9722222222222" style="53" customWidth="1"/>
    <col min="8" max="8" width="30.9074074074074" style="53" customWidth="1"/>
    <col min="9" max="9" width="17.9814814814815" style="53" customWidth="1"/>
    <col min="10" max="10" width="16.3703703703704" style="53" customWidth="1"/>
    <col min="11" max="16384" width="8.88888888888889" style="53"/>
  </cols>
  <sheetData>
    <row r="1" customHeight="1" spans="1:8">
      <c r="A1" s="54" t="s">
        <v>127</v>
      </c>
      <c r="B1" s="54"/>
      <c r="C1" s="54"/>
      <c r="D1" s="54"/>
      <c r="E1" s="54"/>
      <c r="F1" s="54"/>
      <c r="G1" s="54"/>
      <c r="H1" s="54"/>
    </row>
    <row r="2" ht="29" customHeight="1" spans="1:8">
      <c r="A2" s="55" t="s">
        <v>128</v>
      </c>
      <c r="B2" s="55"/>
      <c r="C2" s="55"/>
      <c r="D2" s="55"/>
      <c r="E2" s="55"/>
      <c r="F2" s="55"/>
      <c r="G2" s="55"/>
      <c r="H2" s="55"/>
    </row>
    <row r="3" ht="45" customHeight="1" spans="1:8">
      <c r="A3" s="56" t="s">
        <v>46</v>
      </c>
      <c r="B3" s="56" t="s">
        <v>47</v>
      </c>
      <c r="C3" s="57" t="s">
        <v>129</v>
      </c>
      <c r="D3" s="58" t="s">
        <v>130</v>
      </c>
      <c r="E3" s="58" t="s">
        <v>131</v>
      </c>
      <c r="F3" s="58" t="s">
        <v>132</v>
      </c>
      <c r="G3" s="59" t="s">
        <v>133</v>
      </c>
      <c r="H3" s="56" t="s">
        <v>58</v>
      </c>
    </row>
    <row r="4" ht="29" customHeight="1" spans="1:10">
      <c r="A4" s="56">
        <f>ROW()-3</f>
        <v>1</v>
      </c>
      <c r="B4" s="56" t="s">
        <v>67</v>
      </c>
      <c r="C4" s="56">
        <v>300</v>
      </c>
      <c r="D4" s="60">
        <f>VLOOKUP(B4,[1]车补!$B$1:$E$65536,4,0)</f>
        <v>440</v>
      </c>
      <c r="E4" s="60">
        <f>VLOOKUP(B4,[1]车补!$B$1:$H$65536,7,0)</f>
        <v>400</v>
      </c>
      <c r="F4" s="60">
        <v>0</v>
      </c>
      <c r="G4" s="60">
        <f>C4+D4+E4+F4</f>
        <v>1140</v>
      </c>
      <c r="H4" s="51"/>
      <c r="I4" s="70"/>
      <c r="J4" s="71"/>
    </row>
    <row r="5" ht="29" customHeight="1" spans="1:10">
      <c r="A5" s="56">
        <f t="shared" ref="A5:A14" si="0">ROW()-3</f>
        <v>2</v>
      </c>
      <c r="B5" s="56" t="s">
        <v>69</v>
      </c>
      <c r="C5" s="56">
        <v>300</v>
      </c>
      <c r="D5" s="60">
        <f>VLOOKUP(B5,[1]车补!$B$1:$E$65536,4,0)</f>
        <v>440</v>
      </c>
      <c r="E5" s="60">
        <f>VLOOKUP(B5,[1]车补!$B$1:$H$65536,7,0)</f>
        <v>500</v>
      </c>
      <c r="F5" s="60">
        <v>0</v>
      </c>
      <c r="G5" s="60">
        <f t="shared" ref="G5:G25" si="1">C5+D5+E5+F5</f>
        <v>1240</v>
      </c>
      <c r="H5" s="51"/>
      <c r="I5" s="70"/>
      <c r="J5" s="71"/>
    </row>
    <row r="6" ht="29" customHeight="1" spans="1:10">
      <c r="A6" s="56">
        <f t="shared" si="0"/>
        <v>3</v>
      </c>
      <c r="B6" s="56" t="s">
        <v>71</v>
      </c>
      <c r="C6" s="56">
        <v>300</v>
      </c>
      <c r="D6" s="60">
        <f>VLOOKUP(B6,[1]车补!$B$1:$E$65536,4,0)</f>
        <v>440</v>
      </c>
      <c r="E6" s="60">
        <f>VLOOKUP(B6,[1]车补!$B$1:$H$65536,7,0)</f>
        <v>400</v>
      </c>
      <c r="F6" s="60">
        <v>0</v>
      </c>
      <c r="G6" s="60">
        <f t="shared" si="1"/>
        <v>1140</v>
      </c>
      <c r="H6" s="51"/>
      <c r="I6" s="70"/>
      <c r="J6" s="71"/>
    </row>
    <row r="7" ht="29" customHeight="1" spans="1:10">
      <c r="A7" s="56">
        <f t="shared" si="0"/>
        <v>4</v>
      </c>
      <c r="B7" s="56" t="s">
        <v>73</v>
      </c>
      <c r="C7" s="56">
        <v>300</v>
      </c>
      <c r="D7" s="60">
        <f>VLOOKUP(B7,[1]车补!$B$1:$E$65536,4,0)</f>
        <v>440</v>
      </c>
      <c r="E7" s="60">
        <f>VLOOKUP(B7,[1]车补!$B$1:$H$65536,7,0)</f>
        <v>650</v>
      </c>
      <c r="F7" s="60">
        <v>0</v>
      </c>
      <c r="G7" s="60">
        <f t="shared" si="1"/>
        <v>1390</v>
      </c>
      <c r="H7" s="51"/>
      <c r="I7" s="70"/>
      <c r="J7" s="71"/>
    </row>
    <row r="8" ht="29" customHeight="1" spans="1:10">
      <c r="A8" s="56">
        <f t="shared" si="0"/>
        <v>5</v>
      </c>
      <c r="B8" s="61" t="s">
        <v>75</v>
      </c>
      <c r="C8" s="61">
        <v>300</v>
      </c>
      <c r="D8" s="60">
        <f>VLOOKUP(B8,[1]车补!$B$1:$E$65536,4,0)</f>
        <v>440</v>
      </c>
      <c r="E8" s="60">
        <f>VLOOKUP(B8,[1]车补!$B$1:$H$65536,7,0)</f>
        <v>0</v>
      </c>
      <c r="F8" s="60">
        <f>VLOOKUP(B8,[1]车补!$M$1:$W$65536,11,0)</f>
        <v>100</v>
      </c>
      <c r="G8" s="60">
        <f t="shared" si="1"/>
        <v>840</v>
      </c>
      <c r="H8" s="51"/>
      <c r="I8" s="70"/>
      <c r="J8" s="71"/>
    </row>
    <row r="9" ht="29" customHeight="1" spans="1:10">
      <c r="A9" s="56">
        <f t="shared" si="0"/>
        <v>6</v>
      </c>
      <c r="B9" s="56" t="s">
        <v>78</v>
      </c>
      <c r="C9" s="56">
        <v>300</v>
      </c>
      <c r="D9" s="60">
        <f>VLOOKUP(B9,[1]车补!$B$1:$E$65536,4,0)</f>
        <v>440</v>
      </c>
      <c r="E9" s="60">
        <f>VLOOKUP(B9,[1]车补!$B$1:$H$65536,7,0)</f>
        <v>150</v>
      </c>
      <c r="F9" s="60">
        <f>VLOOKUP(B9,[1]车补!$M$1:$W$65536,11,0)</f>
        <v>100</v>
      </c>
      <c r="G9" s="60">
        <f t="shared" si="1"/>
        <v>990</v>
      </c>
      <c r="H9" s="51"/>
      <c r="I9" s="70"/>
      <c r="J9" s="71"/>
    </row>
    <row r="10" ht="29" customHeight="1" spans="1:10">
      <c r="A10" s="56">
        <f t="shared" si="0"/>
        <v>7</v>
      </c>
      <c r="B10" s="61" t="s">
        <v>80</v>
      </c>
      <c r="C10" s="61">
        <v>300</v>
      </c>
      <c r="D10" s="60">
        <f>VLOOKUP(B10,[1]车补!$B$1:$E$65536,4,0)</f>
        <v>440</v>
      </c>
      <c r="E10" s="60">
        <f>VLOOKUP(B10,[1]车补!$B$1:$H$65536,7,0)</f>
        <v>150</v>
      </c>
      <c r="F10" s="60">
        <v>0</v>
      </c>
      <c r="G10" s="60">
        <f t="shared" si="1"/>
        <v>890</v>
      </c>
      <c r="H10" s="51"/>
      <c r="I10" s="70"/>
      <c r="J10" s="71"/>
    </row>
    <row r="11" ht="29" customHeight="1" spans="1:10">
      <c r="A11" s="56">
        <f t="shared" si="0"/>
        <v>8</v>
      </c>
      <c r="B11" s="56" t="s">
        <v>83</v>
      </c>
      <c r="C11" s="56">
        <v>300</v>
      </c>
      <c r="D11" s="60">
        <f>VLOOKUP(B11,[1]车补!$B$1:$E$65536,4,0)</f>
        <v>440</v>
      </c>
      <c r="E11" s="60">
        <f>VLOOKUP(B11,[1]车补!$B$1:$H$65536,7,0)</f>
        <v>750</v>
      </c>
      <c r="F11" s="60">
        <f>VLOOKUP(B11,[1]车补!$M$1:$W$65536,11,0)</f>
        <v>100</v>
      </c>
      <c r="G11" s="60">
        <f t="shared" si="1"/>
        <v>1590</v>
      </c>
      <c r="H11" s="51"/>
      <c r="I11" s="70"/>
      <c r="J11" s="71"/>
    </row>
    <row r="12" ht="29" customHeight="1" spans="1:10">
      <c r="A12" s="56">
        <f t="shared" si="0"/>
        <v>9</v>
      </c>
      <c r="B12" s="61" t="s">
        <v>85</v>
      </c>
      <c r="C12" s="61">
        <v>200</v>
      </c>
      <c r="D12" s="60">
        <f>VLOOKUP(B12,[1]车补!$B$1:$E$65536,4,0)</f>
        <v>440</v>
      </c>
      <c r="E12" s="60">
        <f>VLOOKUP(B12,[1]车补!$B$1:$H$65536,7,0)</f>
        <v>0</v>
      </c>
      <c r="F12" s="60">
        <f>VLOOKUP(B12,[1]车补!$M$1:$W$65536,11,0)</f>
        <v>100</v>
      </c>
      <c r="G12" s="60">
        <f t="shared" si="1"/>
        <v>740</v>
      </c>
      <c r="H12" s="51"/>
      <c r="I12" s="70"/>
      <c r="J12" s="71"/>
    </row>
    <row r="13" ht="29" customHeight="1" spans="1:10">
      <c r="A13" s="56">
        <f t="shared" si="0"/>
        <v>10</v>
      </c>
      <c r="B13" s="56" t="s">
        <v>88</v>
      </c>
      <c r="C13" s="56">
        <v>150</v>
      </c>
      <c r="D13" s="60">
        <f>VLOOKUP(B13,[1]车补!$B$1:$E$65536,4,0)</f>
        <v>440</v>
      </c>
      <c r="E13" s="60">
        <f>VLOOKUP(B13,[1]车补!$B$1:$H$65536,7,0)</f>
        <v>100</v>
      </c>
      <c r="F13" s="60">
        <f>VLOOKUP(B13,[1]车补!$M$1:$W$65536,11,0)</f>
        <v>300</v>
      </c>
      <c r="G13" s="60">
        <f t="shared" si="1"/>
        <v>990</v>
      </c>
      <c r="H13" s="51"/>
      <c r="I13" s="70"/>
      <c r="J13" s="71"/>
    </row>
    <row r="14" ht="29" customHeight="1" spans="1:10">
      <c r="A14" s="56">
        <f t="shared" si="0"/>
        <v>11</v>
      </c>
      <c r="B14" s="56" t="s">
        <v>90</v>
      </c>
      <c r="C14" s="56">
        <v>150</v>
      </c>
      <c r="D14" s="60">
        <f>VLOOKUP(B14,[1]车补!$B$1:$E$65536,4,0)</f>
        <v>440</v>
      </c>
      <c r="E14" s="60">
        <f>VLOOKUP(B14,[1]车补!$B$1:$H$65536,7,0)</f>
        <v>0</v>
      </c>
      <c r="F14" s="60">
        <v>0</v>
      </c>
      <c r="G14" s="60">
        <f t="shared" si="1"/>
        <v>590</v>
      </c>
      <c r="H14" s="51"/>
      <c r="I14" s="70"/>
      <c r="J14" s="71"/>
    </row>
    <row r="15" ht="29" customHeight="1" spans="1:10">
      <c r="A15" s="56">
        <f t="shared" ref="A15:A23" si="2">ROW()-3</f>
        <v>12</v>
      </c>
      <c r="B15" s="56" t="s">
        <v>92</v>
      </c>
      <c r="C15" s="56">
        <v>150</v>
      </c>
      <c r="D15" s="60">
        <f>VLOOKUP(B15,[1]车补!$B$1:$E$65536,4,0)</f>
        <v>440</v>
      </c>
      <c r="E15" s="60">
        <f>VLOOKUP(B15,[1]车补!$B$1:$H$65536,7,0)</f>
        <v>250</v>
      </c>
      <c r="F15" s="60">
        <f>VLOOKUP(B15,[1]车补!$M$1:$W$65536,11,0)</f>
        <v>100</v>
      </c>
      <c r="G15" s="60">
        <f t="shared" si="1"/>
        <v>940</v>
      </c>
      <c r="H15" s="51"/>
      <c r="I15" s="70"/>
      <c r="J15" s="71"/>
    </row>
    <row r="16" ht="29" customHeight="1" spans="1:10">
      <c r="A16" s="56">
        <f t="shared" si="2"/>
        <v>13</v>
      </c>
      <c r="B16" s="56" t="s">
        <v>94</v>
      </c>
      <c r="C16" s="56">
        <v>100</v>
      </c>
      <c r="D16" s="60">
        <f>VLOOKUP(B16,[1]车补!$B$1:$E$65536,4,0)</f>
        <v>440</v>
      </c>
      <c r="E16" s="60">
        <f>VLOOKUP(B16,[1]车补!$B$1:$H$65536,7,0)</f>
        <v>1450</v>
      </c>
      <c r="F16" s="60">
        <f>VLOOKUP(B16,[1]车补!$M$1:$W$65536,11,0)</f>
        <v>500</v>
      </c>
      <c r="G16" s="60">
        <f t="shared" si="1"/>
        <v>2490</v>
      </c>
      <c r="H16" s="51"/>
      <c r="I16" s="70"/>
      <c r="J16" s="71"/>
    </row>
    <row r="17" ht="29" customHeight="1" spans="1:10">
      <c r="A17" s="56">
        <f t="shared" si="2"/>
        <v>14</v>
      </c>
      <c r="B17" s="61" t="s">
        <v>96</v>
      </c>
      <c r="C17" s="61">
        <v>100</v>
      </c>
      <c r="D17" s="60">
        <f>VLOOKUP(B17,[1]车补!$B$1:$E$65536,4,0)</f>
        <v>440</v>
      </c>
      <c r="E17" s="60">
        <f>VLOOKUP(B17,[1]车补!$B$1:$H$65536,7,0)</f>
        <v>550</v>
      </c>
      <c r="F17" s="60">
        <f>VLOOKUP(B17,[1]车补!$M$1:$W$65536,11,0)</f>
        <v>400</v>
      </c>
      <c r="G17" s="60">
        <f t="shared" si="1"/>
        <v>1490</v>
      </c>
      <c r="H17" s="51"/>
      <c r="I17" s="70"/>
      <c r="J17" s="71"/>
    </row>
    <row r="18" ht="29" customHeight="1" spans="1:10">
      <c r="A18" s="56">
        <f t="shared" si="2"/>
        <v>15</v>
      </c>
      <c r="B18" s="62" t="s">
        <v>99</v>
      </c>
      <c r="C18" s="63">
        <v>300</v>
      </c>
      <c r="D18" s="60">
        <v>0</v>
      </c>
      <c r="E18" s="60">
        <v>0</v>
      </c>
      <c r="F18" s="60">
        <v>0</v>
      </c>
      <c r="G18" s="60">
        <f t="shared" si="1"/>
        <v>300</v>
      </c>
      <c r="H18" s="51"/>
      <c r="I18" s="70"/>
      <c r="J18" s="71"/>
    </row>
    <row r="19" ht="29" customHeight="1" spans="1:10">
      <c r="A19" s="56">
        <f t="shared" si="2"/>
        <v>16</v>
      </c>
      <c r="B19" s="63" t="s">
        <v>101</v>
      </c>
      <c r="C19" s="63">
        <v>150</v>
      </c>
      <c r="D19" s="60">
        <v>0</v>
      </c>
      <c r="E19" s="60">
        <v>0</v>
      </c>
      <c r="F19" s="60">
        <v>0</v>
      </c>
      <c r="G19" s="60">
        <f t="shared" si="1"/>
        <v>150</v>
      </c>
      <c r="H19" s="51"/>
      <c r="I19" s="70"/>
      <c r="J19" s="71"/>
    </row>
    <row r="20" ht="29" customHeight="1" spans="1:10">
      <c r="A20" s="56">
        <f t="shared" si="2"/>
        <v>17</v>
      </c>
      <c r="B20" s="61" t="s">
        <v>103</v>
      </c>
      <c r="C20" s="61">
        <v>50</v>
      </c>
      <c r="D20" s="60">
        <f>VLOOKUP(B20,[1]车补!$B$1:$E$65536,4,0)</f>
        <v>440</v>
      </c>
      <c r="E20" s="60">
        <f>VLOOKUP(B20,[1]车补!$B$1:$H$65536,7,0)</f>
        <v>50</v>
      </c>
      <c r="F20" s="60">
        <f>VLOOKUP(B20,[1]车补!$M$1:$W$65536,11,0)</f>
        <v>300</v>
      </c>
      <c r="G20" s="60">
        <f t="shared" si="1"/>
        <v>840</v>
      </c>
      <c r="H20" s="51"/>
      <c r="I20" s="70"/>
      <c r="J20" s="71"/>
    </row>
    <row r="21" ht="29" customHeight="1" spans="1:10">
      <c r="A21" s="56">
        <f t="shared" si="2"/>
        <v>18</v>
      </c>
      <c r="B21" s="61" t="s">
        <v>105</v>
      </c>
      <c r="C21" s="60">
        <v>50</v>
      </c>
      <c r="D21" s="60">
        <f>VLOOKUP(B21,[1]车补!$B$1:$E$65536,4,0)</f>
        <v>440</v>
      </c>
      <c r="E21" s="60">
        <f>VLOOKUP(B21,[1]车补!$B$1:$H$65536,7,0)</f>
        <v>0</v>
      </c>
      <c r="F21" s="60">
        <v>0</v>
      </c>
      <c r="G21" s="60">
        <f t="shared" si="1"/>
        <v>490</v>
      </c>
      <c r="H21" s="51"/>
      <c r="I21" s="70"/>
      <c r="J21" s="71"/>
    </row>
    <row r="22" ht="29" customHeight="1" spans="1:10">
      <c r="A22" s="56">
        <f t="shared" si="2"/>
        <v>19</v>
      </c>
      <c r="B22" s="61" t="s">
        <v>107</v>
      </c>
      <c r="C22" s="60">
        <v>50</v>
      </c>
      <c r="D22" s="60">
        <f>VLOOKUP(B22,[1]车补!$B$1:$E$65536,4,0)</f>
        <v>440</v>
      </c>
      <c r="E22" s="60">
        <f>VLOOKUP(B22,[1]车补!$B$1:$H$65536,7,0)</f>
        <v>0</v>
      </c>
      <c r="F22" s="60">
        <v>0</v>
      </c>
      <c r="G22" s="60">
        <f t="shared" si="1"/>
        <v>490</v>
      </c>
      <c r="H22" s="51"/>
      <c r="I22" s="70"/>
      <c r="J22" s="71"/>
    </row>
    <row r="23" ht="29" customHeight="1" spans="1:10">
      <c r="A23" s="56">
        <f t="shared" si="2"/>
        <v>20</v>
      </c>
      <c r="B23" s="61" t="s">
        <v>109</v>
      </c>
      <c r="C23" s="60">
        <v>0</v>
      </c>
      <c r="D23" s="60">
        <f>VLOOKUP(B23,[1]车补!$B$1:$E$65536,4,0)</f>
        <v>440</v>
      </c>
      <c r="E23" s="60">
        <f>VLOOKUP(B23,[1]车补!$B$1:$H$65536,7,0)</f>
        <v>900</v>
      </c>
      <c r="F23" s="60">
        <v>0</v>
      </c>
      <c r="G23" s="60">
        <f t="shared" si="1"/>
        <v>1340</v>
      </c>
      <c r="H23" s="51"/>
      <c r="I23" s="70"/>
      <c r="J23" s="71"/>
    </row>
    <row r="24" ht="29" customHeight="1" spans="1:10">
      <c r="A24" s="56">
        <v>21</v>
      </c>
      <c r="B24" s="61" t="s">
        <v>111</v>
      </c>
      <c r="C24" s="60">
        <v>0</v>
      </c>
      <c r="D24" s="60">
        <f>VLOOKUP(B24,[1]车补!$B$1:$E$65536,4,0)</f>
        <v>440</v>
      </c>
      <c r="E24" s="60">
        <f>VLOOKUP(B24,[1]车补!$B$1:$H$65536,7,0)</f>
        <v>0</v>
      </c>
      <c r="F24" s="60">
        <v>0</v>
      </c>
      <c r="G24" s="60">
        <f t="shared" si="1"/>
        <v>440</v>
      </c>
      <c r="H24" s="51"/>
      <c r="I24" s="70"/>
      <c r="J24" s="71"/>
    </row>
    <row r="25" ht="29" customHeight="1" spans="1:10">
      <c r="A25" s="56">
        <v>22</v>
      </c>
      <c r="B25" s="61" t="s">
        <v>113</v>
      </c>
      <c r="C25" s="60">
        <v>0</v>
      </c>
      <c r="D25" s="60">
        <v>0</v>
      </c>
      <c r="E25" s="60">
        <v>0</v>
      </c>
      <c r="F25" s="60">
        <v>0</v>
      </c>
      <c r="G25" s="60">
        <f t="shared" si="1"/>
        <v>0</v>
      </c>
      <c r="H25" s="51"/>
      <c r="I25" s="70"/>
      <c r="J25" s="71"/>
    </row>
    <row r="26" customHeight="1" spans="1:9">
      <c r="A26" s="64" t="s">
        <v>126</v>
      </c>
      <c r="B26" s="64"/>
      <c r="C26" s="64">
        <f>SUM(C4:C25)</f>
        <v>3850</v>
      </c>
      <c r="D26" s="64">
        <f>SUM(D4:D25)</f>
        <v>8360</v>
      </c>
      <c r="E26" s="64">
        <f>SUM(E4:E25)</f>
        <v>6300</v>
      </c>
      <c r="F26" s="64">
        <f>SUM(F4:F25)</f>
        <v>2000</v>
      </c>
      <c r="G26" s="64">
        <f>SUM(G4:G25)</f>
        <v>20510</v>
      </c>
      <c r="H26" s="65"/>
      <c r="I26" s="70"/>
    </row>
    <row r="27" customHeight="1" spans="1:8">
      <c r="A27" s="66" t="s">
        <v>134</v>
      </c>
      <c r="B27" s="66"/>
      <c r="D27" s="66"/>
      <c r="E27" s="66"/>
      <c r="F27" s="66"/>
      <c r="G27" s="67"/>
      <c r="H27" s="67"/>
    </row>
    <row r="28" customHeight="1" spans="4:6">
      <c r="D28" s="68"/>
      <c r="E28" s="68"/>
      <c r="F28" s="68"/>
    </row>
    <row r="29" customHeight="1" spans="4:7">
      <c r="D29" s="69"/>
      <c r="E29" s="69"/>
      <c r="F29" s="69"/>
      <c r="G29" s="69"/>
    </row>
    <row r="37" hidden="1" customHeight="1" spans="4:7">
      <c r="D37" s="68">
        <f>COUNT(D4:D23)</f>
        <v>20</v>
      </c>
      <c r="E37" s="68">
        <f>COUNT(E4:E23)</f>
        <v>20</v>
      </c>
      <c r="F37" s="68"/>
      <c r="G37" s="68">
        <f>COUNT(G4:G23)</f>
        <v>20</v>
      </c>
    </row>
  </sheetData>
  <mergeCells count="4">
    <mergeCell ref="A1:H1"/>
    <mergeCell ref="A2:H2"/>
    <mergeCell ref="A26:B26"/>
    <mergeCell ref="A27:B27"/>
  </mergeCells>
  <pageMargins left="0.393055555555556" right="0.156944444444444" top="1" bottom="1" header="0.5" footer="0.5"/>
  <pageSetup paperSize="9" scale="68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Q29"/>
  <sheetViews>
    <sheetView tabSelected="1" zoomScale="110" zoomScaleNormal="110" workbookViewId="0">
      <pane xSplit="2" ySplit="5" topLeftCell="C6" activePane="bottomRight" state="frozen"/>
      <selection/>
      <selection pane="topRight"/>
      <selection pane="bottomLeft"/>
      <selection pane="bottomRight" activeCell="K11" sqref="K11"/>
    </sheetView>
  </sheetViews>
  <sheetFormatPr defaultColWidth="10" defaultRowHeight="15.6"/>
  <cols>
    <col min="1" max="1" width="4.0462962962963" style="1" customWidth="1"/>
    <col min="2" max="2" width="8.09259259259259" style="1" customWidth="1"/>
    <col min="3" max="3" width="15.2962962962963" style="1" customWidth="1"/>
    <col min="4" max="4" width="15.6851851851852" style="1" customWidth="1"/>
    <col min="5" max="5" width="11.6666666666667" style="1" customWidth="1"/>
    <col min="6" max="6" width="9.27777777777778" style="1" customWidth="1"/>
    <col min="7" max="8" width="10.4722222222222" style="1" customWidth="1"/>
    <col min="9" max="12" width="8.87962962962963" style="1" customWidth="1"/>
    <col min="13" max="13" width="9.40740740740741" style="1" customWidth="1"/>
    <col min="14" max="14" width="10.787037037037" style="1" customWidth="1"/>
    <col min="15" max="15" width="7.57407407407407" style="7" customWidth="1"/>
    <col min="16" max="16" width="10.8518518518519" style="7" customWidth="1"/>
    <col min="17" max="17" width="10.3148148148148" style="7" customWidth="1"/>
    <col min="18" max="19" width="14.6296296296296" style="1" customWidth="1"/>
    <col min="20" max="16384" width="10" style="1"/>
  </cols>
  <sheetData>
    <row r="1" s="1" customFormat="1" ht="35" customHeight="1" spans="1:17">
      <c r="A1" s="8" t="s">
        <v>135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="2" customFormat="1" ht="23" customHeight="1" spans="1:17">
      <c r="A2" s="9" t="s">
        <v>136</v>
      </c>
      <c r="B2" s="10"/>
      <c r="C2" s="10"/>
      <c r="D2" s="10"/>
      <c r="E2" s="10"/>
      <c r="F2" s="11"/>
      <c r="G2" s="11"/>
      <c r="H2" s="11"/>
      <c r="I2" s="11"/>
      <c r="J2" s="11"/>
      <c r="K2" s="11"/>
      <c r="L2" s="11"/>
      <c r="M2" s="11"/>
      <c r="N2" s="11"/>
      <c r="O2" s="10"/>
      <c r="P2" s="10"/>
      <c r="Q2" s="10"/>
    </row>
    <row r="3" s="3" customFormat="1" ht="20" customHeight="1" spans="1:17">
      <c r="A3" s="12" t="s">
        <v>46</v>
      </c>
      <c r="B3" s="13" t="s">
        <v>137</v>
      </c>
      <c r="C3" s="14" t="s">
        <v>138</v>
      </c>
      <c r="D3" s="13" t="s">
        <v>139</v>
      </c>
      <c r="E3" s="13" t="s">
        <v>140</v>
      </c>
      <c r="F3" s="15" t="s">
        <v>141</v>
      </c>
      <c r="G3" s="15" t="s">
        <v>142</v>
      </c>
      <c r="H3" s="16" t="s">
        <v>143</v>
      </c>
      <c r="I3" s="33" t="s">
        <v>144</v>
      </c>
      <c r="J3" s="33"/>
      <c r="K3" s="33"/>
      <c r="L3" s="33"/>
      <c r="M3" s="34" t="s">
        <v>55</v>
      </c>
      <c r="N3" s="15" t="s">
        <v>145</v>
      </c>
      <c r="O3" s="15" t="s">
        <v>146</v>
      </c>
      <c r="P3" s="15" t="s">
        <v>147</v>
      </c>
      <c r="Q3" s="49" t="s">
        <v>148</v>
      </c>
    </row>
    <row r="4" s="3" customFormat="1" ht="14.4" spans="1:17">
      <c r="A4" s="12"/>
      <c r="B4" s="13"/>
      <c r="C4" s="14"/>
      <c r="D4" s="13"/>
      <c r="E4" s="13"/>
      <c r="F4" s="15"/>
      <c r="G4" s="15"/>
      <c r="H4" s="16"/>
      <c r="I4" s="35" t="s">
        <v>59</v>
      </c>
      <c r="J4" s="36" t="s">
        <v>61</v>
      </c>
      <c r="K4" s="36" t="s">
        <v>62</v>
      </c>
      <c r="L4" s="36" t="s">
        <v>63</v>
      </c>
      <c r="M4" s="34"/>
      <c r="N4" s="15"/>
      <c r="O4" s="15"/>
      <c r="P4" s="15"/>
      <c r="Q4" s="49"/>
    </row>
    <row r="5" s="3" customFormat="1" ht="14" customHeight="1" spans="1:17">
      <c r="A5" s="12"/>
      <c r="B5" s="13"/>
      <c r="C5" s="14"/>
      <c r="D5" s="13"/>
      <c r="E5" s="13"/>
      <c r="F5" s="15"/>
      <c r="G5" s="15"/>
      <c r="H5" s="16"/>
      <c r="I5" s="37">
        <v>0.08</v>
      </c>
      <c r="J5" s="38">
        <v>0.02</v>
      </c>
      <c r="K5" s="39">
        <v>0.003</v>
      </c>
      <c r="L5" s="40" t="s">
        <v>64</v>
      </c>
      <c r="M5" s="34"/>
      <c r="N5" s="15"/>
      <c r="O5" s="15"/>
      <c r="P5" s="15"/>
      <c r="Q5" s="49"/>
    </row>
    <row r="6" s="4" customFormat="1" ht="21" customHeight="1" spans="1:17">
      <c r="A6" s="17">
        <f t="shared" ref="A6:A27" si="0">ROW()-5</f>
        <v>1</v>
      </c>
      <c r="B6" s="18" t="s">
        <v>67</v>
      </c>
      <c r="C6" s="19" t="s">
        <v>68</v>
      </c>
      <c r="D6" s="153" t="s">
        <v>149</v>
      </c>
      <c r="E6" s="21" t="s">
        <v>150</v>
      </c>
      <c r="F6" s="22">
        <f>VLOOKUP(B6,'6月'!B:J,9,0)</f>
        <v>2402.1</v>
      </c>
      <c r="G6" s="22">
        <f>VLOOKUP(B6,'车补+加班'!B:G,6,0)</f>
        <v>1140</v>
      </c>
      <c r="H6" s="22">
        <f>F6+G6</f>
        <v>3542.1</v>
      </c>
      <c r="I6" s="41">
        <f t="shared" ref="I6:I11" si="1">ROUND(4308*$I$5,2)</f>
        <v>344.64</v>
      </c>
      <c r="J6" s="41">
        <f>ROUND(4053*$J$5,2)</f>
        <v>81.06</v>
      </c>
      <c r="K6" s="41">
        <f t="shared" ref="K6:K11" si="2">ROUND(4308*$K$5,2)</f>
        <v>12.92</v>
      </c>
      <c r="L6" s="41">
        <f t="shared" ref="L6:L11" si="3">ROUND(180/12,2)</f>
        <v>15</v>
      </c>
      <c r="M6" s="42">
        <f>SUM(I6:L6)</f>
        <v>453.62</v>
      </c>
      <c r="N6" s="42">
        <f>H6-M6</f>
        <v>3088.48</v>
      </c>
      <c r="O6" s="43" cm="1">
        <f t="array" ref="O6">ROUND(MAX((N6-5000)*{0.03,0.1,0.2,0.25,0.3,0.35,0.45}-{0,210,1410,2660,4410,7160,15160},0),2)</f>
        <v>0</v>
      </c>
      <c r="P6" s="44">
        <f>N6-O6</f>
        <v>3088.48</v>
      </c>
      <c r="Q6" s="50"/>
    </row>
    <row r="7" s="4" customFormat="1" ht="21" customHeight="1" spans="1:17">
      <c r="A7" s="17">
        <f t="shared" si="0"/>
        <v>2</v>
      </c>
      <c r="B7" s="18" t="s">
        <v>69</v>
      </c>
      <c r="C7" s="154" t="s">
        <v>70</v>
      </c>
      <c r="D7" s="153" t="s">
        <v>151</v>
      </c>
      <c r="E7" s="21" t="s">
        <v>152</v>
      </c>
      <c r="F7" s="22">
        <f>VLOOKUP(B7,'6月'!B:J,9,0)</f>
        <v>2402.1</v>
      </c>
      <c r="G7" s="22">
        <f>VLOOKUP(B7,'车补+加班'!B:G,6,0)</f>
        <v>1240</v>
      </c>
      <c r="H7" s="22">
        <f t="shared" ref="H7:H27" si="4">F7+G7</f>
        <v>3642.1</v>
      </c>
      <c r="I7" s="41">
        <f t="shared" si="1"/>
        <v>344.64</v>
      </c>
      <c r="J7" s="41">
        <f>ROUND(4053*$J$5,2)</f>
        <v>81.06</v>
      </c>
      <c r="K7" s="41">
        <f t="shared" si="2"/>
        <v>12.92</v>
      </c>
      <c r="L7" s="41">
        <f t="shared" si="3"/>
        <v>15</v>
      </c>
      <c r="M7" s="42">
        <f t="shared" ref="M7:M27" si="5">SUM(I7:L7)</f>
        <v>453.62</v>
      </c>
      <c r="N7" s="42">
        <f t="shared" ref="N7:N27" si="6">H7-M7</f>
        <v>3188.48</v>
      </c>
      <c r="O7" s="43">
        <f>ROUND(MAX((N7-5000)*{0.03,0.1,0.2,0.25,0.3,0.35,0.45}-{0,210,1410,2660,4410,7160,15160},0),2)</f>
        <v>0</v>
      </c>
      <c r="P7" s="44">
        <f t="shared" ref="P7:P27" si="7">N7-O7</f>
        <v>3188.48</v>
      </c>
      <c r="Q7" s="50"/>
    </row>
    <row r="8" s="4" customFormat="1" ht="21" customHeight="1" spans="1:17">
      <c r="A8" s="17">
        <f t="shared" si="0"/>
        <v>3</v>
      </c>
      <c r="B8" s="18" t="s">
        <v>71</v>
      </c>
      <c r="C8" s="19" t="s">
        <v>72</v>
      </c>
      <c r="D8" s="153" t="s">
        <v>153</v>
      </c>
      <c r="E8" s="21" t="s">
        <v>154</v>
      </c>
      <c r="F8" s="22">
        <f>VLOOKUP(B8,'6月'!B:J,9,0)</f>
        <v>2402.1</v>
      </c>
      <c r="G8" s="22">
        <f>VLOOKUP(B8,'车补+加班'!B:G,6,0)</f>
        <v>1140</v>
      </c>
      <c r="H8" s="22">
        <f t="shared" si="4"/>
        <v>3542.1</v>
      </c>
      <c r="I8" s="41">
        <f t="shared" si="1"/>
        <v>344.64</v>
      </c>
      <c r="J8" s="41">
        <f>ROUND(4053*$J$5,2)</f>
        <v>81.06</v>
      </c>
      <c r="K8" s="41">
        <f t="shared" si="2"/>
        <v>12.92</v>
      </c>
      <c r="L8" s="41">
        <f t="shared" si="3"/>
        <v>15</v>
      </c>
      <c r="M8" s="42">
        <f t="shared" si="5"/>
        <v>453.62</v>
      </c>
      <c r="N8" s="42">
        <f t="shared" si="6"/>
        <v>3088.48</v>
      </c>
      <c r="O8" s="43">
        <f>ROUND(MAX((N8-5000)*{0.03,0.1,0.2,0.25,0.3,0.35,0.45}-{0,210,1410,2660,4410,7160,15160},0),2)</f>
        <v>0</v>
      </c>
      <c r="P8" s="44">
        <f t="shared" si="7"/>
        <v>3088.48</v>
      </c>
      <c r="Q8" s="50"/>
    </row>
    <row r="9" s="4" customFormat="1" ht="21" customHeight="1" spans="1:17">
      <c r="A9" s="17">
        <f t="shared" si="0"/>
        <v>4</v>
      </c>
      <c r="B9" s="18" t="s">
        <v>73</v>
      </c>
      <c r="C9" s="19" t="s">
        <v>74</v>
      </c>
      <c r="D9" s="153" t="s">
        <v>155</v>
      </c>
      <c r="E9" s="21" t="s">
        <v>156</v>
      </c>
      <c r="F9" s="22">
        <f>VLOOKUP(B9,'6月'!B:J,9,0)</f>
        <v>2402.1</v>
      </c>
      <c r="G9" s="22">
        <f>VLOOKUP(B9,'车补+加班'!B:G,6,0)</f>
        <v>1390</v>
      </c>
      <c r="H9" s="22">
        <f t="shared" si="4"/>
        <v>3792.1</v>
      </c>
      <c r="I9" s="41">
        <f t="shared" si="1"/>
        <v>344.64</v>
      </c>
      <c r="J9" s="41">
        <f>ROUND(4053*$J$5,2)</f>
        <v>81.06</v>
      </c>
      <c r="K9" s="41">
        <f t="shared" si="2"/>
        <v>12.92</v>
      </c>
      <c r="L9" s="41">
        <f t="shared" si="3"/>
        <v>15</v>
      </c>
      <c r="M9" s="42">
        <f t="shared" si="5"/>
        <v>453.62</v>
      </c>
      <c r="N9" s="42">
        <f t="shared" si="6"/>
        <v>3338.48</v>
      </c>
      <c r="O9" s="43">
        <f>ROUND(MAX((N9-5000)*{0.03,0.1,0.2,0.25,0.3,0.35,0.45}-{0,210,1410,2660,4410,7160,15160},0),2)</f>
        <v>0</v>
      </c>
      <c r="P9" s="44">
        <f t="shared" si="7"/>
        <v>3338.48</v>
      </c>
      <c r="Q9" s="50"/>
    </row>
    <row r="10" s="4" customFormat="1" ht="21" customHeight="1" spans="1:17">
      <c r="A10" s="17">
        <f t="shared" si="0"/>
        <v>5</v>
      </c>
      <c r="B10" s="18" t="s">
        <v>75</v>
      </c>
      <c r="C10" s="19" t="s">
        <v>76</v>
      </c>
      <c r="D10" s="153" t="s">
        <v>157</v>
      </c>
      <c r="E10" s="21" t="s">
        <v>158</v>
      </c>
      <c r="F10" s="22">
        <f>VLOOKUP(B10,'6月'!B:J,9,0)</f>
        <v>2754.71</v>
      </c>
      <c r="G10" s="22">
        <f>VLOOKUP(B10,'车补+加班'!B:G,6,0)</f>
        <v>840</v>
      </c>
      <c r="H10" s="22">
        <f t="shared" si="4"/>
        <v>3594.71</v>
      </c>
      <c r="I10" s="41">
        <f t="shared" si="1"/>
        <v>344.64</v>
      </c>
      <c r="J10" s="41"/>
      <c r="K10" s="41">
        <f t="shared" si="2"/>
        <v>12.92</v>
      </c>
      <c r="L10" s="41"/>
      <c r="M10" s="42">
        <f t="shared" si="5"/>
        <v>357.56</v>
      </c>
      <c r="N10" s="42">
        <f t="shared" si="6"/>
        <v>3237.15</v>
      </c>
      <c r="O10" s="43">
        <f>ROUND(MAX((N10-5000)*{0.03,0.1,0.2,0.25,0.3,0.35,0.45}-{0,210,1410,2660,4410,7160,15160},0),2)</f>
        <v>0</v>
      </c>
      <c r="P10" s="44">
        <f t="shared" si="7"/>
        <v>3237.15</v>
      </c>
      <c r="Q10" s="50"/>
    </row>
    <row r="11" s="4" customFormat="1" ht="21" customHeight="1" spans="1:17">
      <c r="A11" s="17">
        <f t="shared" si="0"/>
        <v>6</v>
      </c>
      <c r="B11" s="18" t="s">
        <v>78</v>
      </c>
      <c r="C11" s="19" t="s">
        <v>79</v>
      </c>
      <c r="D11" s="153" t="s">
        <v>159</v>
      </c>
      <c r="E11" s="21" t="s">
        <v>158</v>
      </c>
      <c r="F11" s="22">
        <f>VLOOKUP(B11,'6月'!B:J,9,0)</f>
        <v>2402.1</v>
      </c>
      <c r="G11" s="22">
        <f>VLOOKUP(B11,'车补+加班'!B:G,6,0)</f>
        <v>990</v>
      </c>
      <c r="H11" s="22">
        <f t="shared" si="4"/>
        <v>3392.1</v>
      </c>
      <c r="I11" s="41">
        <f t="shared" si="1"/>
        <v>344.64</v>
      </c>
      <c r="J11" s="41">
        <f>ROUND(4053*$J$5,2)</f>
        <v>81.06</v>
      </c>
      <c r="K11" s="41">
        <f t="shared" si="2"/>
        <v>12.92</v>
      </c>
      <c r="L11" s="41">
        <f t="shared" si="3"/>
        <v>15</v>
      </c>
      <c r="M11" s="42">
        <f t="shared" si="5"/>
        <v>453.62</v>
      </c>
      <c r="N11" s="42">
        <f t="shared" si="6"/>
        <v>2938.48</v>
      </c>
      <c r="O11" s="43">
        <f>ROUND(MAX((N11-5000)*{0.03,0.1,0.2,0.25,0.3,0.35,0.45}-{0,210,1410,2660,4410,7160,15160},0),2)</f>
        <v>0</v>
      </c>
      <c r="P11" s="44">
        <f t="shared" si="7"/>
        <v>2938.48</v>
      </c>
      <c r="Q11" s="50"/>
    </row>
    <row r="12" s="4" customFormat="1" ht="21" customHeight="1" spans="1:17">
      <c r="A12" s="17">
        <f t="shared" si="0"/>
        <v>7</v>
      </c>
      <c r="B12" s="18" t="s">
        <v>80</v>
      </c>
      <c r="C12" s="19" t="s">
        <v>81</v>
      </c>
      <c r="D12" s="153" t="s">
        <v>160</v>
      </c>
      <c r="E12" s="21" t="s">
        <v>158</v>
      </c>
      <c r="F12" s="22">
        <f>VLOOKUP(B12,'6月'!B:J,9,0)</f>
        <v>3500</v>
      </c>
      <c r="G12" s="22">
        <f>VLOOKUP(B12,'车补+加班'!B:G,6,0)</f>
        <v>890</v>
      </c>
      <c r="H12" s="22">
        <f t="shared" si="4"/>
        <v>4390</v>
      </c>
      <c r="I12" s="41"/>
      <c r="J12" s="41"/>
      <c r="K12" s="41"/>
      <c r="L12" s="41"/>
      <c r="M12" s="42">
        <f t="shared" si="5"/>
        <v>0</v>
      </c>
      <c r="N12" s="42">
        <f t="shared" si="6"/>
        <v>4390</v>
      </c>
      <c r="O12" s="43" cm="1">
        <f t="array" ref="O12">ROUND(MAX((N12-5000)*{0.03,0.1,0.2,0.25,0.3,0.35,0.45}-{0,210,1410,2660,4410,7160,15160},0),2)</f>
        <v>0</v>
      </c>
      <c r="P12" s="44">
        <f t="shared" si="7"/>
        <v>4390</v>
      </c>
      <c r="Q12" s="50"/>
    </row>
    <row r="13" s="4" customFormat="1" ht="21" customHeight="1" spans="1:17">
      <c r="A13" s="17">
        <f t="shared" si="0"/>
        <v>8</v>
      </c>
      <c r="B13" s="18" t="s">
        <v>83</v>
      </c>
      <c r="C13" s="19" t="s">
        <v>84</v>
      </c>
      <c r="D13" s="153" t="s">
        <v>161</v>
      </c>
      <c r="E13" s="21" t="s">
        <v>162</v>
      </c>
      <c r="F13" s="22">
        <f>VLOOKUP(B13,'6月'!B:J,9,0)</f>
        <v>2902.1</v>
      </c>
      <c r="G13" s="22">
        <f>VLOOKUP(B13,'车补+加班'!B:G,6,0)</f>
        <v>1590</v>
      </c>
      <c r="H13" s="22">
        <f t="shared" si="4"/>
        <v>4492.1</v>
      </c>
      <c r="I13" s="41">
        <f>ROUND(4308*$I$5,2)</f>
        <v>344.64</v>
      </c>
      <c r="J13" s="41">
        <f>ROUND(4053*$J$5,2)</f>
        <v>81.06</v>
      </c>
      <c r="K13" s="41">
        <f>ROUND(4308*$K$5,2)</f>
        <v>12.92</v>
      </c>
      <c r="L13" s="41">
        <f>ROUND(180/12,2)</f>
        <v>15</v>
      </c>
      <c r="M13" s="42">
        <f t="shared" si="5"/>
        <v>453.62</v>
      </c>
      <c r="N13" s="42">
        <f t="shared" si="6"/>
        <v>4038.48</v>
      </c>
      <c r="O13" s="43">
        <f>ROUND(MAX((N13-5000)*{0.03,0.1,0.2,0.25,0.3,0.35,0.45}-{0,210,1410,2660,4410,7160,15160},0),2)</f>
        <v>0</v>
      </c>
      <c r="P13" s="44">
        <f t="shared" si="7"/>
        <v>4038.48</v>
      </c>
      <c r="Q13" s="50"/>
    </row>
    <row r="14" s="4" customFormat="1" ht="21" customHeight="1" spans="1:17">
      <c r="A14" s="17">
        <f t="shared" si="0"/>
        <v>9</v>
      </c>
      <c r="B14" s="18" t="s">
        <v>85</v>
      </c>
      <c r="C14" s="19" t="s">
        <v>86</v>
      </c>
      <c r="D14" s="153" t="s">
        <v>163</v>
      </c>
      <c r="E14" s="21" t="s">
        <v>158</v>
      </c>
      <c r="F14" s="22">
        <f>VLOOKUP(B14,'6月'!B:J,9,0)</f>
        <v>3500</v>
      </c>
      <c r="G14" s="22">
        <f>VLOOKUP(B14,'车补+加班'!B:G,6,0)</f>
        <v>740</v>
      </c>
      <c r="H14" s="22">
        <f t="shared" si="4"/>
        <v>4240</v>
      </c>
      <c r="I14" s="41"/>
      <c r="J14" s="41"/>
      <c r="K14" s="41"/>
      <c r="L14" s="41"/>
      <c r="M14" s="42">
        <f t="shared" si="5"/>
        <v>0</v>
      </c>
      <c r="N14" s="42">
        <f t="shared" si="6"/>
        <v>4240</v>
      </c>
      <c r="O14" s="43">
        <f>ROUND(MAX((N14-5000)*{0.03,0.1,0.2,0.25,0.3,0.35,0.45}-{0,210,1410,2660,4410,7160,15160},0),2)</f>
        <v>0</v>
      </c>
      <c r="P14" s="44">
        <f t="shared" si="7"/>
        <v>4240</v>
      </c>
      <c r="Q14" s="50"/>
    </row>
    <row r="15" s="4" customFormat="1" ht="21" customHeight="1" spans="1:17">
      <c r="A15" s="17">
        <f t="shared" si="0"/>
        <v>10</v>
      </c>
      <c r="B15" s="18" t="s">
        <v>88</v>
      </c>
      <c r="C15" s="19" t="s">
        <v>89</v>
      </c>
      <c r="D15" s="153" t="s">
        <v>164</v>
      </c>
      <c r="E15" s="21" t="s">
        <v>165</v>
      </c>
      <c r="F15" s="22">
        <f>VLOOKUP(B15,'6月'!B:J,9,0)</f>
        <v>2402.1</v>
      </c>
      <c r="G15" s="22">
        <f>VLOOKUP(B15,'车补+加班'!B:G,6,0)</f>
        <v>990</v>
      </c>
      <c r="H15" s="22">
        <f t="shared" si="4"/>
        <v>3392.1</v>
      </c>
      <c r="I15" s="41">
        <f t="shared" ref="I15:I26" si="8">ROUND(4308*$I$5,2)</f>
        <v>344.64</v>
      </c>
      <c r="J15" s="41">
        <f>ROUND(4053*$J$5,2)</f>
        <v>81.06</v>
      </c>
      <c r="K15" s="41">
        <f t="shared" ref="K15:K26" si="9">ROUND(4308*$K$5,2)</f>
        <v>12.92</v>
      </c>
      <c r="L15" s="41">
        <f>ROUND(180/12,2)</f>
        <v>15</v>
      </c>
      <c r="M15" s="42">
        <f t="shared" si="5"/>
        <v>453.62</v>
      </c>
      <c r="N15" s="42">
        <f t="shared" si="6"/>
        <v>2938.48</v>
      </c>
      <c r="O15" s="43">
        <f>ROUND(MAX((N15-5000)*{0.03,0.1,0.2,0.25,0.3,0.35,0.45}-{0,210,1410,2660,4410,7160,15160},0),2)</f>
        <v>0</v>
      </c>
      <c r="P15" s="44">
        <f t="shared" si="7"/>
        <v>2938.48</v>
      </c>
      <c r="Q15" s="50"/>
    </row>
    <row r="16" s="4" customFormat="1" ht="21" customHeight="1" spans="1:17">
      <c r="A16" s="17">
        <f t="shared" si="0"/>
        <v>11</v>
      </c>
      <c r="B16" s="18" t="s">
        <v>90</v>
      </c>
      <c r="C16" s="19" t="s">
        <v>91</v>
      </c>
      <c r="D16" s="153" t="s">
        <v>166</v>
      </c>
      <c r="E16" s="21" t="s">
        <v>167</v>
      </c>
      <c r="F16" s="22">
        <f>VLOOKUP(B16,'6月'!B:J,9,0)</f>
        <v>2402.1</v>
      </c>
      <c r="G16" s="22">
        <f>VLOOKUP(B16,'车补+加班'!B:G,6,0)</f>
        <v>590</v>
      </c>
      <c r="H16" s="22">
        <f t="shared" si="4"/>
        <v>2992.1</v>
      </c>
      <c r="I16" s="41">
        <f t="shared" si="8"/>
        <v>344.64</v>
      </c>
      <c r="J16" s="41">
        <f>ROUND(4053*$J$5,2)</f>
        <v>81.06</v>
      </c>
      <c r="K16" s="41">
        <f t="shared" si="9"/>
        <v>12.92</v>
      </c>
      <c r="L16" s="41">
        <f>ROUND(180/12,2)</f>
        <v>15</v>
      </c>
      <c r="M16" s="42">
        <f t="shared" si="5"/>
        <v>453.62</v>
      </c>
      <c r="N16" s="42">
        <f t="shared" si="6"/>
        <v>2538.48</v>
      </c>
      <c r="O16" s="43">
        <f>ROUND(MAX((N16-5000)*{0.03,0.1,0.2,0.25,0.3,0.35,0.45}-{0,210,1410,2660,4410,7160,15160},0),2)</f>
        <v>0</v>
      </c>
      <c r="P16" s="44">
        <f t="shared" si="7"/>
        <v>2538.48</v>
      </c>
      <c r="Q16" s="50"/>
    </row>
    <row r="17" s="4" customFormat="1" ht="21" customHeight="1" spans="1:17">
      <c r="A17" s="17">
        <f t="shared" si="0"/>
        <v>12</v>
      </c>
      <c r="B17" s="18" t="s">
        <v>92</v>
      </c>
      <c r="C17" s="154" t="s">
        <v>93</v>
      </c>
      <c r="D17" s="153" t="s">
        <v>168</v>
      </c>
      <c r="E17" s="21" t="s">
        <v>169</v>
      </c>
      <c r="F17" s="22">
        <f>VLOOKUP(B17,'6月'!B:J,9,0)</f>
        <v>2402.1</v>
      </c>
      <c r="G17" s="22">
        <f>VLOOKUP(B17,'车补+加班'!B:G,6,0)</f>
        <v>940</v>
      </c>
      <c r="H17" s="22">
        <f t="shared" si="4"/>
        <v>3342.1</v>
      </c>
      <c r="I17" s="41">
        <f t="shared" si="8"/>
        <v>344.64</v>
      </c>
      <c r="J17" s="41">
        <f>ROUND(4053*$J$5,2)</f>
        <v>81.06</v>
      </c>
      <c r="K17" s="41">
        <f t="shared" si="9"/>
        <v>12.92</v>
      </c>
      <c r="L17" s="41">
        <f>ROUND(180/12,2)</f>
        <v>15</v>
      </c>
      <c r="M17" s="42">
        <f t="shared" si="5"/>
        <v>453.62</v>
      </c>
      <c r="N17" s="42">
        <f t="shared" si="6"/>
        <v>2888.48</v>
      </c>
      <c r="O17" s="43">
        <f>ROUND(MAX((N17-5000)*{0.03,0.1,0.2,0.25,0.3,0.35,0.45}-{0,210,1410,2660,4410,7160,15160},0),2)</f>
        <v>0</v>
      </c>
      <c r="P17" s="44">
        <f t="shared" si="7"/>
        <v>2888.48</v>
      </c>
      <c r="Q17" s="50"/>
    </row>
    <row r="18" s="4" customFormat="1" ht="21" customHeight="1" spans="1:17">
      <c r="A18" s="17">
        <f t="shared" si="0"/>
        <v>13</v>
      </c>
      <c r="B18" s="18" t="s">
        <v>94</v>
      </c>
      <c r="C18" s="154" t="s">
        <v>95</v>
      </c>
      <c r="D18" s="153" t="s">
        <v>170</v>
      </c>
      <c r="E18" s="21" t="s">
        <v>158</v>
      </c>
      <c r="F18" s="22">
        <f>VLOOKUP(B18,'6月'!B:J,9,0)</f>
        <v>2402.1</v>
      </c>
      <c r="G18" s="22">
        <f>VLOOKUP(B18,'车补+加班'!B:G,6,0)</f>
        <v>2490</v>
      </c>
      <c r="H18" s="22">
        <f t="shared" si="4"/>
        <v>4892.1</v>
      </c>
      <c r="I18" s="41">
        <f t="shared" si="8"/>
        <v>344.64</v>
      </c>
      <c r="J18" s="41">
        <f>ROUND(4053*$J$5,2)</f>
        <v>81.06</v>
      </c>
      <c r="K18" s="41">
        <f t="shared" si="9"/>
        <v>12.92</v>
      </c>
      <c r="L18" s="41">
        <f>ROUND(180/12,2)</f>
        <v>15</v>
      </c>
      <c r="M18" s="42">
        <f t="shared" si="5"/>
        <v>453.62</v>
      </c>
      <c r="N18" s="42">
        <f t="shared" si="6"/>
        <v>4438.48</v>
      </c>
      <c r="O18" s="43">
        <f>ROUND(MAX((N18-5000)*{0.03,0.1,0.2,0.25,0.3,0.35,0.45}-{0,210,1410,2660,4410,7160,15160},0),2)</f>
        <v>0</v>
      </c>
      <c r="P18" s="44">
        <f t="shared" si="7"/>
        <v>4438.48</v>
      </c>
      <c r="Q18" s="50"/>
    </row>
    <row r="19" s="4" customFormat="1" ht="21" customHeight="1" spans="1:17">
      <c r="A19" s="17">
        <f t="shared" si="0"/>
        <v>14</v>
      </c>
      <c r="B19" s="18" t="s">
        <v>96</v>
      </c>
      <c r="C19" s="154" t="s">
        <v>97</v>
      </c>
      <c r="D19" s="153" t="s">
        <v>171</v>
      </c>
      <c r="E19" s="21" t="s">
        <v>172</v>
      </c>
      <c r="F19" s="22">
        <f>VLOOKUP(B19,'6月'!B:J,9,0)</f>
        <v>2754.71</v>
      </c>
      <c r="G19" s="22">
        <f>VLOOKUP(B19,'车补+加班'!B:G,6,0)</f>
        <v>1490</v>
      </c>
      <c r="H19" s="22">
        <f t="shared" si="4"/>
        <v>4244.71</v>
      </c>
      <c r="I19" s="41">
        <f t="shared" si="8"/>
        <v>344.64</v>
      </c>
      <c r="J19" s="41"/>
      <c r="K19" s="41">
        <f t="shared" si="9"/>
        <v>12.92</v>
      </c>
      <c r="L19" s="41"/>
      <c r="M19" s="42">
        <f t="shared" si="5"/>
        <v>357.56</v>
      </c>
      <c r="N19" s="42">
        <f t="shared" si="6"/>
        <v>3887.15</v>
      </c>
      <c r="O19" s="43">
        <f>ROUND(MAX((N19-5000)*{0.03,0.1,0.2,0.25,0.3,0.35,0.45}-{0,210,1410,2660,4410,7160,15160},0),2)</f>
        <v>0</v>
      </c>
      <c r="P19" s="44">
        <f t="shared" si="7"/>
        <v>3887.15</v>
      </c>
      <c r="Q19" s="50"/>
    </row>
    <row r="20" s="4" customFormat="1" ht="21" customHeight="1" spans="1:17">
      <c r="A20" s="17">
        <f t="shared" si="0"/>
        <v>15</v>
      </c>
      <c r="B20" s="18" t="s">
        <v>99</v>
      </c>
      <c r="C20" s="154" t="s">
        <v>100</v>
      </c>
      <c r="D20" s="153" t="s">
        <v>173</v>
      </c>
      <c r="E20" s="21" t="s">
        <v>174</v>
      </c>
      <c r="F20" s="22">
        <f>VLOOKUP(B20,'6月'!B:J,9,0)</f>
        <v>2402.1</v>
      </c>
      <c r="G20" s="22">
        <f>VLOOKUP(B20,'车补+加班'!B:G,6,0)</f>
        <v>300</v>
      </c>
      <c r="H20" s="22">
        <f t="shared" si="4"/>
        <v>2702.1</v>
      </c>
      <c r="I20" s="41">
        <f t="shared" si="8"/>
        <v>344.64</v>
      </c>
      <c r="J20" s="41">
        <f t="shared" ref="J20:J26" si="10">ROUND(4053*$J$5,2)</f>
        <v>81.06</v>
      </c>
      <c r="K20" s="41">
        <f t="shared" si="9"/>
        <v>12.92</v>
      </c>
      <c r="L20" s="41">
        <f t="shared" ref="L20:L26" si="11">ROUND(180/12,2)</f>
        <v>15</v>
      </c>
      <c r="M20" s="42">
        <f t="shared" si="5"/>
        <v>453.62</v>
      </c>
      <c r="N20" s="42">
        <f t="shared" si="6"/>
        <v>2248.48</v>
      </c>
      <c r="O20" s="43">
        <f>ROUND(MAX((N20-5000)*{0.03,0.1,0.2,0.25,0.3,0.35,0.45}-{0,210,1410,2660,4410,7160,15160},0),2)</f>
        <v>0</v>
      </c>
      <c r="P20" s="44">
        <f t="shared" si="7"/>
        <v>2248.48</v>
      </c>
      <c r="Q20" s="50"/>
    </row>
    <row r="21" s="4" customFormat="1" ht="21" customHeight="1" spans="1:17">
      <c r="A21" s="17">
        <f t="shared" si="0"/>
        <v>16</v>
      </c>
      <c r="B21" s="18" t="s">
        <v>101</v>
      </c>
      <c r="C21" s="154" t="s">
        <v>102</v>
      </c>
      <c r="D21" s="153" t="s">
        <v>175</v>
      </c>
      <c r="E21" s="21" t="s">
        <v>176</v>
      </c>
      <c r="F21" s="22">
        <f>VLOOKUP(B21,'6月'!B:J,9,0)</f>
        <v>2402.1</v>
      </c>
      <c r="G21" s="22">
        <f>VLOOKUP(B21,'车补+加班'!B:G,6,0)</f>
        <v>150</v>
      </c>
      <c r="H21" s="22">
        <f t="shared" si="4"/>
        <v>2552.1</v>
      </c>
      <c r="I21" s="41">
        <f t="shared" si="8"/>
        <v>344.64</v>
      </c>
      <c r="J21" s="41">
        <f t="shared" si="10"/>
        <v>81.06</v>
      </c>
      <c r="K21" s="41">
        <f t="shared" si="9"/>
        <v>12.92</v>
      </c>
      <c r="L21" s="41">
        <f t="shared" si="11"/>
        <v>15</v>
      </c>
      <c r="M21" s="42">
        <f t="shared" si="5"/>
        <v>453.62</v>
      </c>
      <c r="N21" s="42">
        <f t="shared" si="6"/>
        <v>2098.48</v>
      </c>
      <c r="O21" s="43">
        <f>ROUND(MAX((N21-5000)*{0.03,0.1,0.2,0.25,0.3,0.35,0.45}-{0,210,1410,2660,4410,7160,15160},0),2)</f>
        <v>0</v>
      </c>
      <c r="P21" s="44">
        <f t="shared" si="7"/>
        <v>2098.48</v>
      </c>
      <c r="Q21" s="50"/>
    </row>
    <row r="22" s="4" customFormat="1" ht="21" customHeight="1" spans="1:17">
      <c r="A22" s="17">
        <f t="shared" si="0"/>
        <v>17</v>
      </c>
      <c r="B22" s="23" t="s">
        <v>103</v>
      </c>
      <c r="C22" s="154" t="s">
        <v>104</v>
      </c>
      <c r="D22" s="153" t="s">
        <v>177</v>
      </c>
      <c r="E22" s="21" t="s">
        <v>158</v>
      </c>
      <c r="F22" s="22">
        <f>VLOOKUP(B22,'6月'!B:J,9,0)</f>
        <v>2902.1</v>
      </c>
      <c r="G22" s="22">
        <f>VLOOKUP(B22,'车补+加班'!B:G,6,0)</f>
        <v>840</v>
      </c>
      <c r="H22" s="22">
        <f t="shared" si="4"/>
        <v>3742.1</v>
      </c>
      <c r="I22" s="41">
        <f t="shared" si="8"/>
        <v>344.64</v>
      </c>
      <c r="J22" s="41">
        <f t="shared" si="10"/>
        <v>81.06</v>
      </c>
      <c r="K22" s="41">
        <f t="shared" si="9"/>
        <v>12.92</v>
      </c>
      <c r="L22" s="41">
        <f t="shared" si="11"/>
        <v>15</v>
      </c>
      <c r="M22" s="42">
        <f t="shared" si="5"/>
        <v>453.62</v>
      </c>
      <c r="N22" s="42">
        <f t="shared" si="6"/>
        <v>3288.48</v>
      </c>
      <c r="O22" s="43">
        <f>ROUND(MAX((N22-5000)*{0.03,0.1,0.2,0.25,0.3,0.35,0.45}-{0,210,1410,2660,4410,7160,15160},0),2)</f>
        <v>0</v>
      </c>
      <c r="P22" s="44">
        <f t="shared" si="7"/>
        <v>3288.48</v>
      </c>
      <c r="Q22" s="51"/>
    </row>
    <row r="23" s="5" customFormat="1" ht="21" customHeight="1" spans="1:17">
      <c r="A23" s="24">
        <f t="shared" si="0"/>
        <v>18</v>
      </c>
      <c r="B23" s="25" t="s">
        <v>105</v>
      </c>
      <c r="C23" s="155" t="s">
        <v>106</v>
      </c>
      <c r="D23" s="156" t="s">
        <v>178</v>
      </c>
      <c r="E23" s="28" t="s">
        <v>158</v>
      </c>
      <c r="F23" s="29">
        <f>VLOOKUP(B23,'6月'!B:J,9,0)</f>
        <v>2402.1</v>
      </c>
      <c r="G23" s="29">
        <f>VLOOKUP(B23,'车补+加班'!B:G,6,0)</f>
        <v>490</v>
      </c>
      <c r="H23" s="29">
        <f t="shared" si="4"/>
        <v>2892.1</v>
      </c>
      <c r="I23" s="45">
        <f t="shared" si="8"/>
        <v>344.64</v>
      </c>
      <c r="J23" s="45">
        <f t="shared" si="10"/>
        <v>81.06</v>
      </c>
      <c r="K23" s="45">
        <f t="shared" si="9"/>
        <v>12.92</v>
      </c>
      <c r="L23" s="45">
        <f t="shared" si="11"/>
        <v>15</v>
      </c>
      <c r="M23" s="46">
        <f t="shared" si="5"/>
        <v>453.62</v>
      </c>
      <c r="N23" s="46">
        <f t="shared" si="6"/>
        <v>2438.48</v>
      </c>
      <c r="O23" s="47">
        <f>ROUND(MAX((N23-5000)*{0.03,0.1,0.2,0.25,0.3,0.35,0.45}-{0,210,1410,2660,4410,7160,15160},0),2)</f>
        <v>0</v>
      </c>
      <c r="P23" s="48">
        <f t="shared" si="7"/>
        <v>2438.48</v>
      </c>
      <c r="Q23" s="52"/>
    </row>
    <row r="24" s="5" customFormat="1" ht="21" customHeight="1" spans="1:17">
      <c r="A24" s="24">
        <f t="shared" si="0"/>
        <v>19</v>
      </c>
      <c r="B24" s="25" t="s">
        <v>107</v>
      </c>
      <c r="C24" s="155" t="s">
        <v>108</v>
      </c>
      <c r="D24" s="156" t="s">
        <v>179</v>
      </c>
      <c r="E24" s="28" t="s">
        <v>158</v>
      </c>
      <c r="F24" s="29">
        <f>VLOOKUP(B24,'6月'!B:J,9,0)</f>
        <v>2402.1</v>
      </c>
      <c r="G24" s="29">
        <f>VLOOKUP(B24,'车补+加班'!B:G,6,0)</f>
        <v>490</v>
      </c>
      <c r="H24" s="29">
        <f t="shared" si="4"/>
        <v>2892.1</v>
      </c>
      <c r="I24" s="45">
        <f t="shared" si="8"/>
        <v>344.64</v>
      </c>
      <c r="J24" s="45">
        <f t="shared" si="10"/>
        <v>81.06</v>
      </c>
      <c r="K24" s="45">
        <f t="shared" si="9"/>
        <v>12.92</v>
      </c>
      <c r="L24" s="45">
        <f t="shared" si="11"/>
        <v>15</v>
      </c>
      <c r="M24" s="46">
        <f t="shared" si="5"/>
        <v>453.62</v>
      </c>
      <c r="N24" s="46">
        <f t="shared" si="6"/>
        <v>2438.48</v>
      </c>
      <c r="O24" s="47">
        <f>ROUND(MAX((N24-5000)*{0.03,0.1,0.2,0.25,0.3,0.35,0.45}-{0,210,1410,2660,4410,7160,15160},0),2)</f>
        <v>0</v>
      </c>
      <c r="P24" s="48">
        <f t="shared" si="7"/>
        <v>2438.48</v>
      </c>
      <c r="Q24" s="52"/>
    </row>
    <row r="25" s="4" customFormat="1" ht="21" customHeight="1" spans="1:17">
      <c r="A25" s="17">
        <f t="shared" si="0"/>
        <v>20</v>
      </c>
      <c r="B25" s="23" t="s">
        <v>109</v>
      </c>
      <c r="C25" s="154" t="s">
        <v>110</v>
      </c>
      <c r="D25" s="153" t="s">
        <v>180</v>
      </c>
      <c r="E25" s="21" t="s">
        <v>158</v>
      </c>
      <c r="F25" s="22">
        <f>VLOOKUP(B25,'6月'!B:J,9,0)</f>
        <v>2402.1</v>
      </c>
      <c r="G25" s="22">
        <f>VLOOKUP(B25,'车补+加班'!B:G,6,0)</f>
        <v>1340</v>
      </c>
      <c r="H25" s="22">
        <f t="shared" si="4"/>
        <v>3742.1</v>
      </c>
      <c r="I25" s="41">
        <f t="shared" si="8"/>
        <v>344.64</v>
      </c>
      <c r="J25" s="41">
        <f t="shared" si="10"/>
        <v>81.06</v>
      </c>
      <c r="K25" s="41">
        <f t="shared" si="9"/>
        <v>12.92</v>
      </c>
      <c r="L25" s="41">
        <f t="shared" si="11"/>
        <v>15</v>
      </c>
      <c r="M25" s="42">
        <f t="shared" si="5"/>
        <v>453.62</v>
      </c>
      <c r="N25" s="42">
        <f t="shared" si="6"/>
        <v>3288.48</v>
      </c>
      <c r="O25" s="43" cm="1">
        <f t="array" ref="O25">ROUND(MAX((N25-5000)*{0.03,0.1,0.2,0.25,0.3,0.35,0.45}-{0,210,1410,2660,4410,7160,15160},0),2)</f>
        <v>0</v>
      </c>
      <c r="P25" s="44">
        <f t="shared" si="7"/>
        <v>3288.48</v>
      </c>
      <c r="Q25" s="51"/>
    </row>
    <row r="26" s="4" customFormat="1" ht="21" customHeight="1" spans="1:17">
      <c r="A26" s="30">
        <v>21</v>
      </c>
      <c r="B26" s="30" t="s">
        <v>111</v>
      </c>
      <c r="C26" s="157" t="s">
        <v>112</v>
      </c>
      <c r="D26" s="153" t="s">
        <v>181</v>
      </c>
      <c r="E26" s="21" t="s">
        <v>158</v>
      </c>
      <c r="F26" s="22">
        <f>'6月'!J26</f>
        <v>2402.1</v>
      </c>
      <c r="G26" s="22">
        <f>VLOOKUP(B26,'车补+加班'!B:G,6,0)</f>
        <v>440</v>
      </c>
      <c r="H26" s="22">
        <f t="shared" si="4"/>
        <v>2842.1</v>
      </c>
      <c r="I26" s="41">
        <f t="shared" si="8"/>
        <v>344.64</v>
      </c>
      <c r="J26" s="41">
        <f t="shared" si="10"/>
        <v>81.06</v>
      </c>
      <c r="K26" s="41">
        <f t="shared" si="9"/>
        <v>12.92</v>
      </c>
      <c r="L26" s="41">
        <f t="shared" si="11"/>
        <v>15</v>
      </c>
      <c r="M26" s="42">
        <f t="shared" si="5"/>
        <v>453.62</v>
      </c>
      <c r="N26" s="42">
        <f t="shared" si="6"/>
        <v>2388.48</v>
      </c>
      <c r="O26" s="43" cm="1">
        <f t="array" ref="O26">ROUND(MAX((N26-5000)*{0.03,0.1,0.2,0.25,0.3,0.35,0.45}-{0,210,1410,2660,4410,7160,15160},0),2)</f>
        <v>0</v>
      </c>
      <c r="P26" s="44">
        <f t="shared" si="7"/>
        <v>2388.48</v>
      </c>
      <c r="Q26" s="31"/>
    </row>
    <row r="27" s="4" customFormat="1" ht="21" customHeight="1" spans="1:17">
      <c r="A27" s="30">
        <v>22</v>
      </c>
      <c r="B27" s="30" t="s">
        <v>113</v>
      </c>
      <c r="C27" s="157" t="s">
        <v>114</v>
      </c>
      <c r="D27" s="157" t="s">
        <v>182</v>
      </c>
      <c r="E27" s="30" t="s">
        <v>183</v>
      </c>
      <c r="F27" s="31">
        <f>'6月'!J27</f>
        <v>3500</v>
      </c>
      <c r="G27" s="22">
        <f>VLOOKUP(B27,'车补+加班'!B:G,6,0)</f>
        <v>0</v>
      </c>
      <c r="H27" s="22">
        <f t="shared" si="4"/>
        <v>3500</v>
      </c>
      <c r="I27" s="31"/>
      <c r="J27" s="31"/>
      <c r="K27" s="31"/>
      <c r="L27" s="31"/>
      <c r="M27" s="42">
        <f t="shared" si="5"/>
        <v>0</v>
      </c>
      <c r="N27" s="42">
        <f t="shared" si="6"/>
        <v>3500</v>
      </c>
      <c r="O27" s="43" cm="1">
        <f t="array" ref="O27">ROUND(MAX((N27-5000)*{0.03,0.1,0.2,0.25,0.3,0.35,0.45}-{0,210,1410,2660,4410,7160,15160},0),2)</f>
        <v>0</v>
      </c>
      <c r="P27" s="44">
        <f t="shared" si="7"/>
        <v>3500</v>
      </c>
      <c r="Q27" s="31" t="s">
        <v>184</v>
      </c>
    </row>
    <row r="28" s="4" customFormat="1" ht="21" customHeight="1" spans="1:17">
      <c r="A28" s="30" t="s">
        <v>116</v>
      </c>
      <c r="B28" s="30"/>
      <c r="C28" s="30"/>
      <c r="D28" s="30"/>
      <c r="E28" s="30"/>
      <c r="F28" s="31">
        <f>SUM(F6:F27)</f>
        <v>57845.12</v>
      </c>
      <c r="G28" s="31">
        <f t="shared" ref="G28:P28" si="12">SUM(G6:G27)</f>
        <v>20510</v>
      </c>
      <c r="H28" s="31">
        <f t="shared" si="12"/>
        <v>78355.12</v>
      </c>
      <c r="I28" s="31">
        <f t="shared" si="12"/>
        <v>6548.16</v>
      </c>
      <c r="J28" s="31">
        <f t="shared" si="12"/>
        <v>1378.02</v>
      </c>
      <c r="K28" s="31">
        <f t="shared" si="12"/>
        <v>245.48</v>
      </c>
      <c r="L28" s="31">
        <f t="shared" si="12"/>
        <v>255</v>
      </c>
      <c r="M28" s="31">
        <f t="shared" si="12"/>
        <v>8426.66</v>
      </c>
      <c r="N28" s="31">
        <f t="shared" si="12"/>
        <v>69928.46</v>
      </c>
      <c r="O28" s="31">
        <f t="shared" si="12"/>
        <v>0</v>
      </c>
      <c r="P28" s="31">
        <f t="shared" si="12"/>
        <v>69928.46</v>
      </c>
      <c r="Q28" s="31"/>
    </row>
    <row r="29" s="6" customFormat="1" ht="30" customHeight="1" spans="1:15">
      <c r="A29" s="32" t="s">
        <v>185</v>
      </c>
      <c r="B29" s="32"/>
      <c r="C29" s="32"/>
      <c r="D29" s="32"/>
      <c r="E29" s="32"/>
      <c r="F29" s="32"/>
      <c r="I29" s="6" t="s">
        <v>186</v>
      </c>
      <c r="O29" s="6" t="s">
        <v>187</v>
      </c>
    </row>
  </sheetData>
  <mergeCells count="19">
    <mergeCell ref="A1:Q1"/>
    <mergeCell ref="A2:Q2"/>
    <mergeCell ref="I3:L3"/>
    <mergeCell ref="A28:E28"/>
    <mergeCell ref="A29:F29"/>
    <mergeCell ref="O29:Q29"/>
    <mergeCell ref="A3:A5"/>
    <mergeCell ref="B3:B5"/>
    <mergeCell ref="C3:C5"/>
    <mergeCell ref="D3:D5"/>
    <mergeCell ref="E3:E5"/>
    <mergeCell ref="F3:F5"/>
    <mergeCell ref="G3:G5"/>
    <mergeCell ref="H3:H5"/>
    <mergeCell ref="M3:M5"/>
    <mergeCell ref="N3:N5"/>
    <mergeCell ref="O3:O5"/>
    <mergeCell ref="P3:P5"/>
    <mergeCell ref="Q3:Q5"/>
  </mergeCells>
  <pageMargins left="0.275" right="0.236111111111111" top="0.393055555555556" bottom="1" header="0.236111111111111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结算表1</vt:lpstr>
      <vt:lpstr>6月</vt:lpstr>
      <vt:lpstr>结算表2</vt:lpstr>
      <vt:lpstr>车补+加班</vt:lpstr>
      <vt:lpstr>工资表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罗珍珍</cp:lastModifiedBy>
  <dcterms:created xsi:type="dcterms:W3CDTF">2017-08-16T02:32:00Z</dcterms:created>
  <cp:lastPrinted>2019-01-03T01:14:00Z</cp:lastPrinted>
  <dcterms:modified xsi:type="dcterms:W3CDTF">2025-07-09T02:32:06Z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808A2A97217B490695CC336D477FCF50_13</vt:lpwstr>
  </property>
</Properties>
</file>