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办公用品" sheetId="11" r:id="rId1"/>
  </sheets>
  <definedNames>
    <definedName name="_xlnm._FilterDatabase" localSheetId="0" hidden="1">办公用品!$A$2:$J$169</definedName>
    <definedName name="_xlnm.Print_Titles" localSheetId="0">办公用品!$1:$3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2" name="ID_1DF5D239722E44FD9C0866772E790DA8" descr="QQ截图20200613220345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533650" y="6086475"/>
          <a:ext cx="974090" cy="796925"/>
        </a:xfrm>
        <a:prstGeom prst="rect">
          <a:avLst/>
        </a:prstGeom>
      </xdr:spPr>
    </xdr:pic>
  </etc:cellImage>
  <etc:cellImage>
    <xdr:pic>
      <xdr:nvPicPr>
        <xdr:cNvPr id="105" name="ID_0F944292A4374C019BE947164FD57B8A" descr="QQ截图20200614150028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2466340" y="61433075"/>
          <a:ext cx="1004570" cy="895985"/>
        </a:xfrm>
        <a:prstGeom prst="rect">
          <a:avLst/>
        </a:prstGeom>
      </xdr:spPr>
    </xdr:pic>
  </etc:cellImage>
  <etc:cellImage>
    <xdr:pic>
      <xdr:nvPicPr>
        <xdr:cNvPr id="42" name="ID_7298EABE440C4F04A084589D1DD9D5BF" descr="QQ截图20200613220849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2524125" y="1485265"/>
          <a:ext cx="991235" cy="753110"/>
        </a:xfrm>
        <a:prstGeom prst="rect">
          <a:avLst/>
        </a:prstGeom>
      </xdr:spPr>
    </xdr:pic>
  </etc:cellImage>
  <etc:cellImage>
    <xdr:pic>
      <xdr:nvPicPr>
        <xdr:cNvPr id="4" name="ID_C0B0EF96F1734948A2C79D22B7FCC252" descr="QQ截图20200614171402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612390" y="53580665"/>
          <a:ext cx="1035685" cy="911225"/>
        </a:xfrm>
        <a:prstGeom prst="rect">
          <a:avLst/>
        </a:prstGeom>
      </xdr:spPr>
    </xdr:pic>
  </etc:cellImage>
  <etc:cellImage>
    <xdr:pic>
      <xdr:nvPicPr>
        <xdr:cNvPr id="59" name="ID_9E3505F091734C5CBD09162A33D888A2" descr="QQ截图20200613220430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2638425" y="4647565"/>
          <a:ext cx="1062990" cy="762635"/>
        </a:xfrm>
        <a:prstGeom prst="rect">
          <a:avLst/>
        </a:prstGeom>
      </xdr:spPr>
    </xdr:pic>
  </etc:cellImage>
  <etc:cellImage>
    <xdr:pic>
      <xdr:nvPicPr>
        <xdr:cNvPr id="5" name="ID_5100D166B2624DBEB3B3579421AEA14F" descr="3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2475865" y="69034025"/>
          <a:ext cx="1124585" cy="915035"/>
        </a:xfrm>
        <a:prstGeom prst="rect">
          <a:avLst/>
        </a:prstGeom>
      </xdr:spPr>
    </xdr:pic>
  </etc:cellImage>
  <etc:cellImage>
    <xdr:pic>
      <xdr:nvPicPr>
        <xdr:cNvPr id="45" name="ID_8671289CE23E4810BB0D3FF52E34DE6B" descr="QQ截图20200613220757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609850" y="2276475"/>
          <a:ext cx="954405" cy="685800"/>
        </a:xfrm>
        <a:prstGeom prst="rect">
          <a:avLst/>
        </a:prstGeom>
      </xdr:spPr>
    </xdr:pic>
  </etc:cellImage>
  <etc:cellImage>
    <xdr:pic>
      <xdr:nvPicPr>
        <xdr:cNvPr id="124" name="ID_530D7946C19C4C5E9DBC0815FAA514E4" descr="QQ截图20200614163419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2495550" y="97656650"/>
          <a:ext cx="971550" cy="857885"/>
        </a:xfrm>
        <a:prstGeom prst="rect">
          <a:avLst/>
        </a:prstGeom>
      </xdr:spPr>
    </xdr:pic>
  </etc:cellImage>
  <etc:cellImage>
    <xdr:pic>
      <xdr:nvPicPr>
        <xdr:cNvPr id="243" name="ID_BBE056A104C741249C03B344BB3B7BD2" descr="QQ截图20200829142615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2447290" y="14493240"/>
          <a:ext cx="1153160" cy="887095"/>
        </a:xfrm>
        <a:prstGeom prst="rect">
          <a:avLst/>
        </a:prstGeom>
      </xdr:spPr>
    </xdr:pic>
  </etc:cellImage>
  <etc:cellImage>
    <xdr:pic>
      <xdr:nvPicPr>
        <xdr:cNvPr id="53" name="ID_489E801F51EA47C4B80A773D1A31A45B" descr="QQ截图20200613220601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2505075" y="3742055"/>
          <a:ext cx="1059815" cy="952500"/>
        </a:xfrm>
        <a:prstGeom prst="rect">
          <a:avLst/>
        </a:prstGeom>
      </xdr:spPr>
    </xdr:pic>
  </etc:cellImage>
  <etc:cellImage>
    <xdr:pic>
      <xdr:nvPicPr>
        <xdr:cNvPr id="161" name="ID_D8180FFDCC294A66ADE22F7A52CFE5DF" descr="QQ截图20200614212714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2466340" y="17445990"/>
          <a:ext cx="1006475" cy="753110"/>
        </a:xfrm>
        <a:prstGeom prst="rect">
          <a:avLst/>
        </a:prstGeom>
      </xdr:spPr>
    </xdr:pic>
  </etc:cellImage>
  <etc:cellImage>
    <xdr:pic>
      <xdr:nvPicPr>
        <xdr:cNvPr id="52" name="ID_EB0040F2B09D40769BF179789C782317" descr="QQ截图20200613220612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2567940" y="2844800"/>
          <a:ext cx="984250" cy="781685"/>
        </a:xfrm>
        <a:prstGeom prst="rect">
          <a:avLst/>
        </a:prstGeom>
      </xdr:spPr>
    </xdr:pic>
  </etc:cellImage>
  <etc:cellImage>
    <xdr:pic>
      <xdr:nvPicPr>
        <xdr:cNvPr id="63" name="ID_B8D56006DCB044E5A052B9C0CF77D500" descr="QQ截图20200613220322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2511425" y="6891655"/>
          <a:ext cx="926465" cy="835660"/>
        </a:xfrm>
        <a:prstGeom prst="rect">
          <a:avLst/>
        </a:prstGeom>
      </xdr:spPr>
    </xdr:pic>
  </etc:cellImage>
  <etc:cellImage>
    <xdr:pic>
      <xdr:nvPicPr>
        <xdr:cNvPr id="194" name="ID_07CE8EA6981749468C09C727F1CD2BF8" descr="QQ截图20200615095340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2409825" y="51622325"/>
          <a:ext cx="1064260" cy="914400"/>
        </a:xfrm>
        <a:prstGeom prst="rect">
          <a:avLst/>
        </a:prstGeom>
      </xdr:spPr>
    </xdr:pic>
  </etc:cellImage>
  <etc:cellImage>
    <xdr:pic>
      <xdr:nvPicPr>
        <xdr:cNvPr id="61" name="ID_8D858BA9BA8C439AA16B11DFABF81A20" descr="QQ截图20200613220357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2533015" y="5402580"/>
          <a:ext cx="932815" cy="624205"/>
        </a:xfrm>
        <a:prstGeom prst="rect">
          <a:avLst/>
        </a:prstGeom>
      </xdr:spPr>
    </xdr:pic>
  </etc:cellImage>
  <etc:cellImage>
    <xdr:pic>
      <xdr:nvPicPr>
        <xdr:cNvPr id="345" name="ID_08C22EA7636445DC8EEE56D0027C9401" descr="QQ截图20200829184955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2423795" y="86192995"/>
          <a:ext cx="1176655" cy="923925"/>
        </a:xfrm>
        <a:prstGeom prst="rect">
          <a:avLst/>
        </a:prstGeom>
      </xdr:spPr>
    </xdr:pic>
  </etc:cellImage>
  <etc:cellImage>
    <xdr:pic>
      <xdr:nvPicPr>
        <xdr:cNvPr id="231" name="ID_5FED48BAAC4A47198AE40B8CA0FC7C3D" descr="QQ截图20200829143530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2638425" y="7892415"/>
          <a:ext cx="829945" cy="819785"/>
        </a:xfrm>
        <a:prstGeom prst="rect">
          <a:avLst/>
        </a:prstGeom>
      </xdr:spPr>
    </xdr:pic>
  </etc:cellImage>
  <etc:cellImage>
    <xdr:pic>
      <xdr:nvPicPr>
        <xdr:cNvPr id="232" name="ID_56E318A6080043ED957E37EE43312C97" descr="QQ截图20200829143530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2571750" y="8778875"/>
          <a:ext cx="915035" cy="895985"/>
        </a:xfrm>
        <a:prstGeom prst="rect">
          <a:avLst/>
        </a:prstGeom>
      </xdr:spPr>
    </xdr:pic>
  </etc:cellImage>
  <etc:cellImage>
    <xdr:pic>
      <xdr:nvPicPr>
        <xdr:cNvPr id="234" name="ID_D86C671C02B24E68A7FE7E8BA7EA26D4" descr="QQ截图20200829142849"/>
        <xdr:cNvPicPr>
          <a:picLocks noChangeAspect="1"/>
        </xdr:cNvPicPr>
      </xdr:nvPicPr>
      <xdr:blipFill>
        <a:blip r:embed="rId19" cstate="print"/>
        <a:stretch>
          <a:fillRect/>
        </a:stretch>
      </xdr:blipFill>
      <xdr:spPr>
        <a:xfrm>
          <a:off x="2618740" y="9759950"/>
          <a:ext cx="706120" cy="857885"/>
        </a:xfrm>
        <a:prstGeom prst="rect">
          <a:avLst/>
        </a:prstGeom>
      </xdr:spPr>
    </xdr:pic>
  </etc:cellImage>
  <etc:cellImage>
    <xdr:pic>
      <xdr:nvPicPr>
        <xdr:cNvPr id="332" name="ID_4243E78C79F843CB877C5811BE0D0748" descr="QQ截图20200829182904"/>
        <xdr:cNvPicPr>
          <a:picLocks noChangeAspect="1"/>
        </xdr:cNvPicPr>
      </xdr:nvPicPr>
      <xdr:blipFill>
        <a:blip r:embed="rId20" cstate="print"/>
        <a:stretch>
          <a:fillRect/>
        </a:stretch>
      </xdr:blipFill>
      <xdr:spPr>
        <a:xfrm>
          <a:off x="2543175" y="90131900"/>
          <a:ext cx="857885" cy="638810"/>
        </a:xfrm>
        <a:prstGeom prst="rect">
          <a:avLst/>
        </a:prstGeom>
      </xdr:spPr>
    </xdr:pic>
  </etc:cellImage>
  <etc:cellImage>
    <xdr:pic>
      <xdr:nvPicPr>
        <xdr:cNvPr id="233" name="ID_2A72D2E482F34B46A28A32C1E647D365" descr="QQ截图20200829142901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2523490" y="10702925"/>
          <a:ext cx="944880" cy="866775"/>
        </a:xfrm>
        <a:prstGeom prst="rect">
          <a:avLst/>
        </a:prstGeom>
      </xdr:spPr>
    </xdr:pic>
  </etc:cellImage>
  <etc:cellImage>
    <xdr:pic>
      <xdr:nvPicPr>
        <xdr:cNvPr id="239" name="ID_2DBA82C86BF64FFD9BE9149F57138188" descr="QQ截图20200829142730"/>
        <xdr:cNvPicPr>
          <a:picLocks noChangeAspect="1"/>
        </xdr:cNvPicPr>
      </xdr:nvPicPr>
      <xdr:blipFill>
        <a:blip r:embed="rId22" cstate="print"/>
        <a:stretch>
          <a:fillRect/>
        </a:stretch>
      </xdr:blipFill>
      <xdr:spPr>
        <a:xfrm>
          <a:off x="2485390" y="11645900"/>
          <a:ext cx="1115060" cy="886460"/>
        </a:xfrm>
        <a:prstGeom prst="rect">
          <a:avLst/>
        </a:prstGeom>
      </xdr:spPr>
    </xdr:pic>
  </etc:cellImage>
  <etc:cellImage>
    <xdr:pic>
      <xdr:nvPicPr>
        <xdr:cNvPr id="240" name="ID_CDC77EF19EB441FF998984FE9DF0E807" descr="QQ截图20200829142718"/>
        <xdr:cNvPicPr>
          <a:picLocks noChangeAspect="1"/>
        </xdr:cNvPicPr>
      </xdr:nvPicPr>
      <xdr:blipFill>
        <a:blip r:embed="rId23" cstate="print"/>
        <a:stretch>
          <a:fillRect/>
        </a:stretch>
      </xdr:blipFill>
      <xdr:spPr>
        <a:xfrm>
          <a:off x="2514600" y="12597765"/>
          <a:ext cx="1085850" cy="886460"/>
        </a:xfrm>
        <a:prstGeom prst="rect">
          <a:avLst/>
        </a:prstGeom>
      </xdr:spPr>
    </xdr:pic>
  </etc:cellImage>
  <etc:cellImage>
    <xdr:pic>
      <xdr:nvPicPr>
        <xdr:cNvPr id="93" name="ID_2F0F95FC8409450EA1E08CE389CAED97" descr="QQ截图20200614150335"/>
        <xdr:cNvPicPr>
          <a:picLocks noChangeAspect="1"/>
        </xdr:cNvPicPr>
      </xdr:nvPicPr>
      <xdr:blipFill>
        <a:blip r:embed="rId24" cstate="print"/>
        <a:stretch>
          <a:fillRect/>
        </a:stretch>
      </xdr:blipFill>
      <xdr:spPr>
        <a:xfrm>
          <a:off x="2475865" y="54479825"/>
          <a:ext cx="996950" cy="925195"/>
        </a:xfrm>
        <a:prstGeom prst="rect">
          <a:avLst/>
        </a:prstGeom>
      </xdr:spPr>
    </xdr:pic>
  </etc:cellImage>
  <etc:cellImage>
    <xdr:pic>
      <xdr:nvPicPr>
        <xdr:cNvPr id="282" name="ID_82293D40C06D4CED8F8246239B3360B1" descr="QQ截图20200829145218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2494915" y="13569950"/>
          <a:ext cx="982345" cy="857250"/>
        </a:xfrm>
        <a:prstGeom prst="rect">
          <a:avLst/>
        </a:prstGeom>
      </xdr:spPr>
    </xdr:pic>
  </etc:cellImage>
  <etc:cellImage>
    <xdr:pic>
      <xdr:nvPicPr>
        <xdr:cNvPr id="244" name="ID_73D377A599874827A2267D8BEFCEEF39" descr="QQ截图20200829142603"/>
        <xdr:cNvPicPr>
          <a:picLocks noChangeAspect="1"/>
        </xdr:cNvPicPr>
      </xdr:nvPicPr>
      <xdr:blipFill>
        <a:blip r:embed="rId26" cstate="print"/>
        <a:stretch>
          <a:fillRect/>
        </a:stretch>
      </xdr:blipFill>
      <xdr:spPr>
        <a:xfrm>
          <a:off x="2418715" y="15455265"/>
          <a:ext cx="1181735" cy="857885"/>
        </a:xfrm>
        <a:prstGeom prst="rect">
          <a:avLst/>
        </a:prstGeom>
      </xdr:spPr>
    </xdr:pic>
  </etc:cellImage>
  <etc:cellImage>
    <xdr:pic>
      <xdr:nvPicPr>
        <xdr:cNvPr id="245" name="ID_227980E7FD1448E0B5C07127E42161D2" descr="QQ截图20200829142548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>
          <a:off x="2438400" y="16370300"/>
          <a:ext cx="1162050" cy="753110"/>
        </a:xfrm>
        <a:prstGeom prst="rect">
          <a:avLst/>
        </a:prstGeom>
      </xdr:spPr>
    </xdr:pic>
  </etc:cellImage>
  <etc:cellImage>
    <xdr:pic>
      <xdr:nvPicPr>
        <xdr:cNvPr id="100" name="ID_B4BE7C7758B64BF188E3311843EF7F4B" descr="QQ截图20200614150148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2409825" y="60385325"/>
          <a:ext cx="1190625" cy="924560"/>
        </a:xfrm>
        <a:prstGeom prst="rect">
          <a:avLst/>
        </a:prstGeom>
      </xdr:spPr>
    </xdr:pic>
  </etc:cellImage>
  <etc:cellImage>
    <xdr:pic>
      <xdr:nvPicPr>
        <xdr:cNvPr id="160" name="ID_E072CCA4C10A44B9AD11A7B71AC96C34" descr="QQ截图20200614212644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2447290" y="18332450"/>
          <a:ext cx="1026160" cy="867410"/>
        </a:xfrm>
        <a:prstGeom prst="rect">
          <a:avLst/>
        </a:prstGeom>
      </xdr:spPr>
    </xdr:pic>
  </etc:cellImage>
  <etc:cellImage>
    <xdr:pic>
      <xdr:nvPicPr>
        <xdr:cNvPr id="230" name="ID_C0FA58FDFEA94B3E812D8A6675DFB5A4" descr="QQ截图20200829144321"/>
        <xdr:cNvPicPr>
          <a:picLocks noChangeAspect="1"/>
        </xdr:cNvPicPr>
      </xdr:nvPicPr>
      <xdr:blipFill>
        <a:blip r:embed="rId30" cstate="print"/>
        <a:stretch>
          <a:fillRect/>
        </a:stretch>
      </xdr:blipFill>
      <xdr:spPr>
        <a:xfrm>
          <a:off x="2694305" y="30714950"/>
          <a:ext cx="612140" cy="829310"/>
        </a:xfrm>
        <a:prstGeom prst="rect">
          <a:avLst/>
        </a:prstGeom>
      </xdr:spPr>
    </xdr:pic>
  </etc:cellImage>
  <etc:cellImage>
    <xdr:pic>
      <xdr:nvPicPr>
        <xdr:cNvPr id="248" name="ID_211A08C25E2D4E03B574F62097DDAE5A" descr="QQ截图20200829142511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2561590" y="19331940"/>
          <a:ext cx="1172210" cy="715010"/>
        </a:xfrm>
        <a:prstGeom prst="rect">
          <a:avLst/>
        </a:prstGeom>
      </xdr:spPr>
    </xdr:pic>
  </etc:cellImage>
  <etc:cellImage>
    <xdr:pic>
      <xdr:nvPicPr>
        <xdr:cNvPr id="96" name="ID_15CF649F09F14C59A5C92CF5AB76511B" descr="QQ截图20200614150250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2409825" y="58289825"/>
          <a:ext cx="1061720" cy="1018540"/>
        </a:xfrm>
        <a:prstGeom prst="rect">
          <a:avLst/>
        </a:prstGeom>
      </xdr:spPr>
    </xdr:pic>
  </etc:cellImage>
  <etc:cellImage>
    <xdr:pic>
      <xdr:nvPicPr>
        <xdr:cNvPr id="73" name="ID_6319FA23C3CB4D7DBA89CB0D348D7AFC" descr="QQ截图20200614134030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2486025" y="31638875"/>
          <a:ext cx="988060" cy="895985"/>
        </a:xfrm>
        <a:prstGeom prst="rect">
          <a:avLst/>
        </a:prstGeom>
      </xdr:spPr>
    </xdr:pic>
  </etc:cellImage>
  <etc:cellImage>
    <xdr:pic>
      <xdr:nvPicPr>
        <xdr:cNvPr id="249" name="ID_235751DA1F1247708BB0BFAC6A2DDC36" descr="QQ截图20200829142459"/>
        <xdr:cNvPicPr>
          <a:picLocks noChangeAspect="1"/>
        </xdr:cNvPicPr>
      </xdr:nvPicPr>
      <xdr:blipFill>
        <a:blip r:embed="rId34" cstate="print"/>
        <a:stretch>
          <a:fillRect/>
        </a:stretch>
      </xdr:blipFill>
      <xdr:spPr>
        <a:xfrm>
          <a:off x="2428875" y="20265390"/>
          <a:ext cx="1171575" cy="840105"/>
        </a:xfrm>
        <a:prstGeom prst="rect">
          <a:avLst/>
        </a:prstGeom>
      </xdr:spPr>
    </xdr:pic>
  </etc:cellImage>
  <etc:cellImage>
    <xdr:pic>
      <xdr:nvPicPr>
        <xdr:cNvPr id="305" name="ID_871AC509A4D44DB29BD7A938722488F6" descr="QQ截图20200829171129"/>
        <xdr:cNvPicPr>
          <a:picLocks noChangeAspect="1"/>
        </xdr:cNvPicPr>
      </xdr:nvPicPr>
      <xdr:blipFill>
        <a:blip r:embed="rId35" cstate="print"/>
        <a:stretch>
          <a:fillRect/>
        </a:stretch>
      </xdr:blipFill>
      <xdr:spPr>
        <a:xfrm>
          <a:off x="2435225" y="48808640"/>
          <a:ext cx="1165225" cy="819785"/>
        </a:xfrm>
        <a:prstGeom prst="rect">
          <a:avLst/>
        </a:prstGeom>
      </xdr:spPr>
    </xdr:pic>
  </etc:cellImage>
  <etc:cellImage>
    <xdr:pic>
      <xdr:nvPicPr>
        <xdr:cNvPr id="34" name="ID_32F97FB7F7454E129D3B4E7A01EBAF1B" descr="医疗专用周转箱"/>
        <xdr:cNvPicPr>
          <a:picLocks noChangeAspect="1"/>
        </xdr:cNvPicPr>
      </xdr:nvPicPr>
      <xdr:blipFill>
        <a:blip r:embed="rId36" cstate="print"/>
        <a:stretch>
          <a:fillRect/>
        </a:stretch>
      </xdr:blipFill>
      <xdr:spPr>
        <a:xfrm>
          <a:off x="1971675" y="148189950"/>
          <a:ext cx="1152525" cy="828040"/>
        </a:xfrm>
        <a:prstGeom prst="rect">
          <a:avLst/>
        </a:prstGeom>
      </xdr:spPr>
    </xdr:pic>
  </etc:cellImage>
  <etc:cellImage>
    <xdr:pic>
      <xdr:nvPicPr>
        <xdr:cNvPr id="214" name="ID_07116A6A43034615B9CA236663F92A63" descr="QQ截图20200829142448"/>
        <xdr:cNvPicPr>
          <a:picLocks noChangeAspect="1"/>
        </xdr:cNvPicPr>
      </xdr:nvPicPr>
      <xdr:blipFill>
        <a:blip r:embed="rId37" cstate="print"/>
        <a:stretch>
          <a:fillRect/>
        </a:stretch>
      </xdr:blipFill>
      <xdr:spPr>
        <a:xfrm>
          <a:off x="2442845" y="21203920"/>
          <a:ext cx="1157605" cy="857885"/>
        </a:xfrm>
        <a:prstGeom prst="rect">
          <a:avLst/>
        </a:prstGeom>
      </xdr:spPr>
    </xdr:pic>
  </etc:cellImage>
  <etc:cellImage>
    <xdr:pic>
      <xdr:nvPicPr>
        <xdr:cNvPr id="76" name="ID_509DB51DDB5641F79052BD2FC0A2BAD6" descr="QQ截图20200614141930"/>
        <xdr:cNvPicPr>
          <a:picLocks noChangeAspect="1"/>
        </xdr:cNvPicPr>
      </xdr:nvPicPr>
      <xdr:blipFill>
        <a:blip r:embed="rId38" cstate="print"/>
        <a:stretch>
          <a:fillRect/>
        </a:stretch>
      </xdr:blipFill>
      <xdr:spPr>
        <a:xfrm>
          <a:off x="2447290" y="32600265"/>
          <a:ext cx="1026160" cy="886460"/>
        </a:xfrm>
        <a:prstGeom prst="rect">
          <a:avLst/>
        </a:prstGeom>
      </xdr:spPr>
    </xdr:pic>
  </etc:cellImage>
  <etc:cellImage>
    <xdr:pic>
      <xdr:nvPicPr>
        <xdr:cNvPr id="285" name="ID_6B5683436C2742CFAAB561B263F54A2D" descr="QQ截图20200829145142"/>
        <xdr:cNvPicPr>
          <a:picLocks noChangeAspect="1"/>
        </xdr:cNvPicPr>
      </xdr:nvPicPr>
      <xdr:blipFill>
        <a:blip r:embed="rId39" cstate="print"/>
        <a:stretch>
          <a:fillRect/>
        </a:stretch>
      </xdr:blipFill>
      <xdr:spPr>
        <a:xfrm>
          <a:off x="2475865" y="22189440"/>
          <a:ext cx="1124585" cy="839470"/>
        </a:xfrm>
        <a:prstGeom prst="rect">
          <a:avLst/>
        </a:prstGeom>
      </xdr:spPr>
    </xdr:pic>
  </etc:cellImage>
  <etc:cellImage>
    <xdr:pic>
      <xdr:nvPicPr>
        <xdr:cNvPr id="251" name="ID_DF406AA7CE154A62A096332BA83CE519" descr="QQ截图20200829144933"/>
        <xdr:cNvPicPr>
          <a:picLocks noChangeAspect="1"/>
        </xdr:cNvPicPr>
      </xdr:nvPicPr>
      <xdr:blipFill>
        <a:blip r:embed="rId40" cstate="print"/>
        <a:stretch>
          <a:fillRect/>
        </a:stretch>
      </xdr:blipFill>
      <xdr:spPr>
        <a:xfrm>
          <a:off x="2562225" y="23047325"/>
          <a:ext cx="1010920" cy="867410"/>
        </a:xfrm>
        <a:prstGeom prst="rect">
          <a:avLst/>
        </a:prstGeom>
      </xdr:spPr>
    </xdr:pic>
  </etc:cellImage>
  <etc:cellImage>
    <xdr:pic>
      <xdr:nvPicPr>
        <xdr:cNvPr id="43" name="ID_9821B8FD4421474D8004DD3FB07190B4"/>
        <xdr:cNvPicPr>
          <a:picLocks noChangeAspect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2225" y="129566035"/>
          <a:ext cx="1219200" cy="610235"/>
        </a:xfrm>
        <a:prstGeom prst="rect">
          <a:avLst/>
        </a:prstGeom>
      </xdr:spPr>
    </xdr:pic>
  </etc:cellImage>
  <etc:cellImage>
    <xdr:pic>
      <xdr:nvPicPr>
        <xdr:cNvPr id="217" name="ID_E049828997C2428D8F877DE037DB1EF4" descr="QQ截图20200829142338"/>
        <xdr:cNvPicPr>
          <a:picLocks noChangeAspect="1"/>
        </xdr:cNvPicPr>
      </xdr:nvPicPr>
      <xdr:blipFill>
        <a:blip r:embed="rId42" cstate="print"/>
        <a:stretch>
          <a:fillRect/>
        </a:stretch>
      </xdr:blipFill>
      <xdr:spPr>
        <a:xfrm>
          <a:off x="2543175" y="24056340"/>
          <a:ext cx="1143000" cy="858520"/>
        </a:xfrm>
        <a:prstGeom prst="rect">
          <a:avLst/>
        </a:prstGeom>
      </xdr:spPr>
    </xdr:pic>
  </etc:cellImage>
  <etc:cellImage>
    <xdr:pic>
      <xdr:nvPicPr>
        <xdr:cNvPr id="219" name="ID_A7EBA29BFE9A410B81A3869C10B7B83B" descr="QQ截图20200829142304"/>
        <xdr:cNvPicPr>
          <a:picLocks noChangeAspect="1"/>
        </xdr:cNvPicPr>
      </xdr:nvPicPr>
      <xdr:blipFill>
        <a:blip r:embed="rId43" cstate="print"/>
        <a:stretch>
          <a:fillRect/>
        </a:stretch>
      </xdr:blipFill>
      <xdr:spPr>
        <a:xfrm>
          <a:off x="2638425" y="25094565"/>
          <a:ext cx="885825" cy="724535"/>
        </a:xfrm>
        <a:prstGeom prst="rect">
          <a:avLst/>
        </a:prstGeom>
      </xdr:spPr>
    </xdr:pic>
  </etc:cellImage>
  <etc:cellImage>
    <xdr:pic>
      <xdr:nvPicPr>
        <xdr:cNvPr id="225" name="ID_DC6560B90965499DA122773AA73B4FC4" descr="QQ截图20200829142108"/>
        <xdr:cNvPicPr>
          <a:picLocks noChangeAspect="1"/>
        </xdr:cNvPicPr>
      </xdr:nvPicPr>
      <xdr:blipFill>
        <a:blip r:embed="rId44" cstate="print"/>
        <a:stretch>
          <a:fillRect/>
        </a:stretch>
      </xdr:blipFill>
      <xdr:spPr>
        <a:xfrm>
          <a:off x="2561590" y="26075005"/>
          <a:ext cx="829945" cy="669290"/>
        </a:xfrm>
        <a:prstGeom prst="rect">
          <a:avLst/>
        </a:prstGeom>
      </xdr:spPr>
    </xdr:pic>
  </etc:cellImage>
  <etc:cellImage>
    <xdr:pic>
      <xdr:nvPicPr>
        <xdr:cNvPr id="262" name="ID_5C04EA39FAE5424DB726B7711264F662" descr="QQ截图20200829144708"/>
        <xdr:cNvPicPr>
          <a:picLocks noChangeAspect="1"/>
        </xdr:cNvPicPr>
      </xdr:nvPicPr>
      <xdr:blipFill>
        <a:blip r:embed="rId45" cstate="print"/>
        <a:stretch>
          <a:fillRect/>
        </a:stretch>
      </xdr:blipFill>
      <xdr:spPr>
        <a:xfrm>
          <a:off x="2724150" y="26866850"/>
          <a:ext cx="543560" cy="868045"/>
        </a:xfrm>
        <a:prstGeom prst="rect">
          <a:avLst/>
        </a:prstGeom>
      </xdr:spPr>
    </xdr:pic>
  </etc:cellImage>
  <etc:cellImage>
    <xdr:pic>
      <xdr:nvPicPr>
        <xdr:cNvPr id="268" name="ID_FB266625B48445E8963795B2C455FBAB" descr="QQ截图20200829144611"/>
        <xdr:cNvPicPr>
          <a:picLocks noChangeAspect="1"/>
        </xdr:cNvPicPr>
      </xdr:nvPicPr>
      <xdr:blipFill>
        <a:blip r:embed="rId46" cstate="print"/>
        <a:stretch>
          <a:fillRect/>
        </a:stretch>
      </xdr:blipFill>
      <xdr:spPr>
        <a:xfrm>
          <a:off x="2543175" y="27857450"/>
          <a:ext cx="1162050" cy="886460"/>
        </a:xfrm>
        <a:prstGeom prst="rect">
          <a:avLst/>
        </a:prstGeom>
      </xdr:spPr>
    </xdr:pic>
  </etc:cellImage>
  <etc:cellImage>
    <xdr:pic>
      <xdr:nvPicPr>
        <xdr:cNvPr id="270" name="ID_CDFB4ED9641A456196ABC4D0769DC19D" descr="QQ截图20200829144545"/>
        <xdr:cNvPicPr>
          <a:picLocks noChangeAspect="1"/>
        </xdr:cNvPicPr>
      </xdr:nvPicPr>
      <xdr:blipFill>
        <a:blip r:embed="rId47" cstate="print"/>
        <a:stretch>
          <a:fillRect/>
        </a:stretch>
      </xdr:blipFill>
      <xdr:spPr>
        <a:xfrm>
          <a:off x="2466975" y="28780740"/>
          <a:ext cx="1133475" cy="867410"/>
        </a:xfrm>
        <a:prstGeom prst="rect">
          <a:avLst/>
        </a:prstGeom>
      </xdr:spPr>
    </xdr:pic>
  </etc:cellImage>
  <etc:cellImage>
    <xdr:pic>
      <xdr:nvPicPr>
        <xdr:cNvPr id="20" name="ID_BEBD7A303BFB4A1A9764C44805CAED46" descr="057d1576756dc67e7679445a8061085"/>
        <xdr:cNvPicPr>
          <a:picLocks noChangeAspect="1"/>
        </xdr:cNvPicPr>
      </xdr:nvPicPr>
      <xdr:blipFill>
        <a:blip r:embed="rId48" cstate="print"/>
        <a:stretch>
          <a:fillRect/>
        </a:stretch>
      </xdr:blipFill>
      <xdr:spPr>
        <a:xfrm flipH="1">
          <a:off x="2599055" y="136260840"/>
          <a:ext cx="1058545" cy="898525"/>
        </a:xfrm>
        <a:prstGeom prst="rect">
          <a:avLst/>
        </a:prstGeom>
      </xdr:spPr>
    </xdr:pic>
  </etc:cellImage>
  <etc:cellImage>
    <xdr:pic>
      <xdr:nvPicPr>
        <xdr:cNvPr id="276" name="ID_75CE043AF08B4DCC8C6C6EE10F14AC3E" descr="QQ截图20200829144443"/>
        <xdr:cNvPicPr>
          <a:picLocks noChangeAspect="1"/>
        </xdr:cNvPicPr>
      </xdr:nvPicPr>
      <xdr:blipFill>
        <a:blip r:embed="rId49" cstate="print"/>
        <a:stretch>
          <a:fillRect/>
        </a:stretch>
      </xdr:blipFill>
      <xdr:spPr>
        <a:xfrm>
          <a:off x="2428875" y="29761815"/>
          <a:ext cx="1171575" cy="848360"/>
        </a:xfrm>
        <a:prstGeom prst="rect">
          <a:avLst/>
        </a:prstGeom>
      </xdr:spPr>
    </xdr:pic>
  </etc:cellImage>
  <etc:cellImage>
    <xdr:pic>
      <xdr:nvPicPr>
        <xdr:cNvPr id="91" name="ID_E840197695CD428CAF27E5D3A76E8F66" descr="QQ截图20200614150556"/>
        <xdr:cNvPicPr>
          <a:picLocks noChangeAspect="1"/>
        </xdr:cNvPicPr>
      </xdr:nvPicPr>
      <xdr:blipFill>
        <a:blip r:embed="rId50" cstate="print"/>
        <a:stretch>
          <a:fillRect/>
        </a:stretch>
      </xdr:blipFill>
      <xdr:spPr>
        <a:xfrm>
          <a:off x="2409825" y="49717325"/>
          <a:ext cx="1190625" cy="895350"/>
        </a:xfrm>
        <a:prstGeom prst="rect">
          <a:avLst/>
        </a:prstGeom>
      </xdr:spPr>
    </xdr:pic>
  </etc:cellImage>
  <etc:cellImage>
    <xdr:pic>
      <xdr:nvPicPr>
        <xdr:cNvPr id="78" name="ID_6EE00EC91AF8438E8498312787896942" descr="QQ截图20200614141859"/>
        <xdr:cNvPicPr>
          <a:picLocks noChangeAspect="1"/>
        </xdr:cNvPicPr>
      </xdr:nvPicPr>
      <xdr:blipFill>
        <a:blip r:embed="rId51" cstate="print"/>
        <a:stretch>
          <a:fillRect/>
        </a:stretch>
      </xdr:blipFill>
      <xdr:spPr>
        <a:xfrm>
          <a:off x="2457450" y="33524825"/>
          <a:ext cx="1143000" cy="924560"/>
        </a:xfrm>
        <a:prstGeom prst="rect">
          <a:avLst/>
        </a:prstGeom>
      </xdr:spPr>
    </xdr:pic>
  </etc:cellImage>
  <etc:cellImage>
    <xdr:pic>
      <xdr:nvPicPr>
        <xdr:cNvPr id="26" name="ID_B8ABF1FD15DE48F0B3A86933C1A92E87" descr="af57c357a556f5a621d37ea2cedab2d"/>
        <xdr:cNvPicPr>
          <a:picLocks noChangeAspect="1"/>
        </xdr:cNvPicPr>
      </xdr:nvPicPr>
      <xdr:blipFill>
        <a:blip r:embed="rId52" cstate="print"/>
        <a:stretch>
          <a:fillRect/>
        </a:stretch>
      </xdr:blipFill>
      <xdr:spPr>
        <a:xfrm>
          <a:off x="2562225" y="142991840"/>
          <a:ext cx="1005840" cy="842010"/>
        </a:xfrm>
        <a:prstGeom prst="rect">
          <a:avLst/>
        </a:prstGeom>
      </xdr:spPr>
    </xdr:pic>
  </etc:cellImage>
  <etc:cellImage>
    <xdr:pic>
      <xdr:nvPicPr>
        <xdr:cNvPr id="80" name="ID_D83F7F8B3F7D4887BE0B8A0B83EF8775" descr="QQ截图20200614141828"/>
        <xdr:cNvPicPr>
          <a:picLocks noChangeAspect="1"/>
        </xdr:cNvPicPr>
      </xdr:nvPicPr>
      <xdr:blipFill>
        <a:blip r:embed="rId53" cstate="print"/>
        <a:stretch>
          <a:fillRect/>
        </a:stretch>
      </xdr:blipFill>
      <xdr:spPr>
        <a:xfrm>
          <a:off x="2457450" y="34524950"/>
          <a:ext cx="1013460" cy="885825"/>
        </a:xfrm>
        <a:prstGeom prst="rect">
          <a:avLst/>
        </a:prstGeom>
      </xdr:spPr>
    </xdr:pic>
  </etc:cellImage>
  <etc:cellImage>
    <xdr:pic>
      <xdr:nvPicPr>
        <xdr:cNvPr id="83" name="ID_3C66A8A0C9AB437D80E6AFF59361292C" descr="QQ截图20200614141748"/>
        <xdr:cNvPicPr>
          <a:picLocks noChangeAspect="1"/>
        </xdr:cNvPicPr>
      </xdr:nvPicPr>
      <xdr:blipFill>
        <a:blip r:embed="rId54" cstate="print"/>
        <a:stretch>
          <a:fillRect/>
        </a:stretch>
      </xdr:blipFill>
      <xdr:spPr>
        <a:xfrm>
          <a:off x="2409825" y="35429825"/>
          <a:ext cx="1190625" cy="905510"/>
        </a:xfrm>
        <a:prstGeom prst="rect">
          <a:avLst/>
        </a:prstGeom>
      </xdr:spPr>
    </xdr:pic>
  </etc:cellImage>
  <etc:cellImage>
    <xdr:pic>
      <xdr:nvPicPr>
        <xdr:cNvPr id="74" name="ID_D3777F0D76174C009ED90ED6B2B5A7FA" descr="QQ截图20200615095502"/>
        <xdr:cNvPicPr>
          <a:picLocks noChangeAspect="1"/>
        </xdr:cNvPicPr>
      </xdr:nvPicPr>
      <xdr:blipFill>
        <a:blip r:embed="rId55" cstate="print"/>
        <a:stretch>
          <a:fillRect/>
        </a:stretch>
      </xdr:blipFill>
      <xdr:spPr>
        <a:xfrm>
          <a:off x="3486785" y="55055135"/>
          <a:ext cx="943610" cy="838200"/>
        </a:xfrm>
        <a:prstGeom prst="rect">
          <a:avLst/>
        </a:prstGeom>
      </xdr:spPr>
    </xdr:pic>
  </etc:cellImage>
  <etc:cellImage>
    <xdr:pic>
      <xdr:nvPicPr>
        <xdr:cNvPr id="39" name="ID_B7BDA6841573429F8A4912DF1ED5359D" descr="QQ截图20200613212129"/>
        <xdr:cNvPicPr>
          <a:picLocks noChangeAspect="1"/>
        </xdr:cNvPicPr>
      </xdr:nvPicPr>
      <xdr:blipFill>
        <a:blip r:embed="rId56" cstate="print"/>
        <a:stretch>
          <a:fillRect/>
        </a:stretch>
      </xdr:blipFill>
      <xdr:spPr>
        <a:xfrm>
          <a:off x="2542540" y="152509220"/>
          <a:ext cx="1010285" cy="805180"/>
        </a:xfrm>
        <a:prstGeom prst="rect">
          <a:avLst/>
        </a:prstGeom>
      </xdr:spPr>
    </xdr:pic>
  </etc:cellImage>
  <etc:cellImage>
    <xdr:pic>
      <xdr:nvPicPr>
        <xdr:cNvPr id="596" name="ID_28A5362A7C6240569DEC2A2D3E7268B7" descr="3efb4a870a75ce00fa8e1688736c08d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477260" y="38881685"/>
          <a:ext cx="1256030" cy="846455"/>
        </a:xfrm>
        <a:prstGeom prst="rect">
          <a:avLst/>
        </a:prstGeom>
      </xdr:spPr>
    </xdr:pic>
  </etc:cellImage>
  <etc:cellImage>
    <xdr:pic>
      <xdr:nvPicPr>
        <xdr:cNvPr id="297" name="ID_DE26BF6855484425AF1264323F51E482" descr="QQ截图20200829164943"/>
        <xdr:cNvPicPr>
          <a:picLocks noChangeAspect="1"/>
        </xdr:cNvPicPr>
      </xdr:nvPicPr>
      <xdr:blipFill>
        <a:blip r:embed="rId58" cstate="print"/>
        <a:stretch>
          <a:fillRect/>
        </a:stretch>
      </xdr:blipFill>
      <xdr:spPr>
        <a:xfrm>
          <a:off x="2452370" y="38357810"/>
          <a:ext cx="1148080" cy="792480"/>
        </a:xfrm>
        <a:prstGeom prst="rect">
          <a:avLst/>
        </a:prstGeom>
      </xdr:spPr>
    </xdr:pic>
  </etc:cellImage>
  <etc:cellImage>
    <xdr:pic>
      <xdr:nvPicPr>
        <xdr:cNvPr id="303" name="ID_6EC77E5BEB314E78A74D03D7668CAE44" descr="QQ截图20200829165309"/>
        <xdr:cNvPicPr>
          <a:picLocks noChangeAspect="1"/>
        </xdr:cNvPicPr>
      </xdr:nvPicPr>
      <xdr:blipFill>
        <a:blip r:embed="rId59" cstate="print"/>
        <a:stretch>
          <a:fillRect/>
        </a:stretch>
      </xdr:blipFill>
      <xdr:spPr>
        <a:xfrm>
          <a:off x="2552065" y="39277925"/>
          <a:ext cx="878205" cy="868045"/>
        </a:xfrm>
        <a:prstGeom prst="rect">
          <a:avLst/>
        </a:prstGeom>
      </xdr:spPr>
    </xdr:pic>
  </etc:cellImage>
  <etc:cellImage>
    <xdr:pic>
      <xdr:nvPicPr>
        <xdr:cNvPr id="302" name="ID_C21ECD0659C24AF59A92A4F0487549BF" descr="QQ截图20200829165338"/>
        <xdr:cNvPicPr>
          <a:picLocks noChangeAspect="1"/>
        </xdr:cNvPicPr>
      </xdr:nvPicPr>
      <xdr:blipFill>
        <a:blip r:embed="rId60" cstate="print"/>
        <a:stretch>
          <a:fillRect/>
        </a:stretch>
      </xdr:blipFill>
      <xdr:spPr>
        <a:xfrm>
          <a:off x="2428240" y="40239315"/>
          <a:ext cx="1172210" cy="876300"/>
        </a:xfrm>
        <a:prstGeom prst="rect">
          <a:avLst/>
        </a:prstGeom>
      </xdr:spPr>
    </xdr:pic>
  </etc:cellImage>
  <etc:cellImage>
    <xdr:pic>
      <xdr:nvPicPr>
        <xdr:cNvPr id="165" name="ID_798AEA6696094D00B5A7747A9459F0FE" descr="QQ截图20200614215220"/>
        <xdr:cNvPicPr>
          <a:picLocks noChangeAspect="1"/>
        </xdr:cNvPicPr>
      </xdr:nvPicPr>
      <xdr:blipFill>
        <a:blip r:embed="rId61" cstate="print"/>
        <a:stretch>
          <a:fillRect/>
        </a:stretch>
      </xdr:blipFill>
      <xdr:spPr>
        <a:xfrm>
          <a:off x="2514600" y="41248965"/>
          <a:ext cx="958215" cy="715010"/>
        </a:xfrm>
        <a:prstGeom prst="rect">
          <a:avLst/>
        </a:prstGeom>
      </xdr:spPr>
    </xdr:pic>
  </etc:cellImage>
  <etc:cellImage>
    <xdr:pic>
      <xdr:nvPicPr>
        <xdr:cNvPr id="167" name="ID_56BC674A50794BC29AD17B90A9B484B9" descr="QQ截图20200614215206"/>
        <xdr:cNvPicPr>
          <a:picLocks noChangeAspect="1"/>
        </xdr:cNvPicPr>
      </xdr:nvPicPr>
      <xdr:blipFill>
        <a:blip r:embed="rId62" cstate="print"/>
        <a:stretch>
          <a:fillRect/>
        </a:stretch>
      </xdr:blipFill>
      <xdr:spPr>
        <a:xfrm>
          <a:off x="2476500" y="42173525"/>
          <a:ext cx="1123950" cy="838835"/>
        </a:xfrm>
        <a:prstGeom prst="rect">
          <a:avLst/>
        </a:prstGeom>
      </xdr:spPr>
    </xdr:pic>
  </etc:cellImage>
  <etc:cellImage>
    <xdr:pic>
      <xdr:nvPicPr>
        <xdr:cNvPr id="168" name="ID_8A5A790C3A1149BDBFAAA1CC31D6B30B" descr="QQ截图20200614215153"/>
        <xdr:cNvPicPr>
          <a:picLocks noChangeAspect="1"/>
        </xdr:cNvPicPr>
      </xdr:nvPicPr>
      <xdr:blipFill>
        <a:blip r:embed="rId63" cstate="print"/>
        <a:stretch>
          <a:fillRect/>
        </a:stretch>
      </xdr:blipFill>
      <xdr:spPr>
        <a:xfrm>
          <a:off x="2485390" y="43049825"/>
          <a:ext cx="952500" cy="924560"/>
        </a:xfrm>
        <a:prstGeom prst="rect">
          <a:avLst/>
        </a:prstGeom>
      </xdr:spPr>
    </xdr:pic>
  </etc:cellImage>
  <etc:cellImage>
    <xdr:pic>
      <xdr:nvPicPr>
        <xdr:cNvPr id="170" name="ID_F8007B29F10849548FB02BA62D0011FE" descr="QQ截图20200614215132"/>
        <xdr:cNvPicPr>
          <a:picLocks noChangeAspect="1"/>
        </xdr:cNvPicPr>
      </xdr:nvPicPr>
      <xdr:blipFill>
        <a:blip r:embed="rId64" cstate="print"/>
        <a:stretch>
          <a:fillRect/>
        </a:stretch>
      </xdr:blipFill>
      <xdr:spPr>
        <a:xfrm>
          <a:off x="2609215" y="44135675"/>
          <a:ext cx="925195" cy="667385"/>
        </a:xfrm>
        <a:prstGeom prst="rect">
          <a:avLst/>
        </a:prstGeom>
      </xdr:spPr>
    </xdr:pic>
  </etc:cellImage>
  <etc:cellImage>
    <xdr:pic>
      <xdr:nvPicPr>
        <xdr:cNvPr id="175" name="ID_E5A32909C27C4E8F871CD91248E55CFF" descr="QQ截图20200614215048"/>
        <xdr:cNvPicPr>
          <a:picLocks noChangeAspect="1"/>
        </xdr:cNvPicPr>
      </xdr:nvPicPr>
      <xdr:blipFill>
        <a:blip r:embed="rId65" cstate="print"/>
        <a:stretch>
          <a:fillRect/>
        </a:stretch>
      </xdr:blipFill>
      <xdr:spPr>
        <a:xfrm>
          <a:off x="2542540" y="45078650"/>
          <a:ext cx="1057910" cy="659130"/>
        </a:xfrm>
        <a:prstGeom prst="rect">
          <a:avLst/>
        </a:prstGeom>
      </xdr:spPr>
    </xdr:pic>
  </etc:cellImage>
  <etc:cellImage>
    <xdr:pic>
      <xdr:nvPicPr>
        <xdr:cNvPr id="178" name="ID_43C5A780C174475596A15A82B92A229A" descr="QQ截图20200614215017"/>
        <xdr:cNvPicPr>
          <a:picLocks noChangeAspect="1"/>
        </xdr:cNvPicPr>
      </xdr:nvPicPr>
      <xdr:blipFill>
        <a:blip r:embed="rId66" cstate="print"/>
        <a:stretch>
          <a:fillRect/>
        </a:stretch>
      </xdr:blipFill>
      <xdr:spPr>
        <a:xfrm>
          <a:off x="2504440" y="45935900"/>
          <a:ext cx="896620" cy="885825"/>
        </a:xfrm>
        <a:prstGeom prst="rect">
          <a:avLst/>
        </a:prstGeom>
      </xdr:spPr>
    </xdr:pic>
  </etc:cellImage>
  <etc:cellImage>
    <xdr:pic>
      <xdr:nvPicPr>
        <xdr:cNvPr id="182" name="ID_74087D50807A49088A256F554F74BE9B" descr="QQ截图20200614214921"/>
        <xdr:cNvPicPr>
          <a:picLocks noChangeAspect="1"/>
        </xdr:cNvPicPr>
      </xdr:nvPicPr>
      <xdr:blipFill>
        <a:blip r:embed="rId67" cstate="print"/>
        <a:stretch>
          <a:fillRect/>
        </a:stretch>
      </xdr:blipFill>
      <xdr:spPr>
        <a:xfrm>
          <a:off x="2409825" y="46859825"/>
          <a:ext cx="1008380" cy="924560"/>
        </a:xfrm>
        <a:prstGeom prst="rect">
          <a:avLst/>
        </a:prstGeom>
      </xdr:spPr>
    </xdr:pic>
  </etc:cellImage>
  <etc:cellImage>
    <xdr:pic>
      <xdr:nvPicPr>
        <xdr:cNvPr id="306" name="ID_839604D5455E4DA3840B8786E90ACE45" descr="QQ截图20200829171115"/>
        <xdr:cNvPicPr>
          <a:picLocks noChangeAspect="1"/>
        </xdr:cNvPicPr>
      </xdr:nvPicPr>
      <xdr:blipFill>
        <a:blip r:embed="rId68" cstate="print"/>
        <a:stretch>
          <a:fillRect/>
        </a:stretch>
      </xdr:blipFill>
      <xdr:spPr>
        <a:xfrm>
          <a:off x="2447925" y="47840900"/>
          <a:ext cx="1152525" cy="857885"/>
        </a:xfrm>
        <a:prstGeom prst="rect">
          <a:avLst/>
        </a:prstGeom>
      </xdr:spPr>
    </xdr:pic>
  </etc:cellImage>
  <etc:cellImage>
    <xdr:pic>
      <xdr:nvPicPr>
        <xdr:cNvPr id="92" name="ID_98D0209EF8E545B3A05FCB0544CBE3D6" descr="QQ截图20200614150611"/>
        <xdr:cNvPicPr>
          <a:picLocks noChangeAspect="1"/>
        </xdr:cNvPicPr>
      </xdr:nvPicPr>
      <xdr:blipFill>
        <a:blip r:embed="rId69" cstate="print"/>
        <a:stretch>
          <a:fillRect/>
        </a:stretch>
      </xdr:blipFill>
      <xdr:spPr>
        <a:xfrm>
          <a:off x="2409825" y="50669825"/>
          <a:ext cx="1063625" cy="923925"/>
        </a:xfrm>
        <a:prstGeom prst="rect">
          <a:avLst/>
        </a:prstGeom>
      </xdr:spPr>
    </xdr:pic>
  </etc:cellImage>
  <etc:cellImage>
    <xdr:pic>
      <xdr:nvPicPr>
        <xdr:cNvPr id="609" name="ID_D7E588B752DC43A6B062BAC065E5590F" descr="QQ截图20200614153027"/>
        <xdr:cNvPicPr>
          <a:picLocks noChangeAspect="1"/>
        </xdr:cNvPicPr>
      </xdr:nvPicPr>
      <xdr:blipFill>
        <a:blip r:embed="rId70" cstate="print"/>
        <a:stretch>
          <a:fillRect/>
        </a:stretch>
      </xdr:blipFill>
      <xdr:spPr>
        <a:xfrm>
          <a:off x="3401060" y="57855485"/>
          <a:ext cx="1190625" cy="933450"/>
        </a:xfrm>
        <a:prstGeom prst="rect">
          <a:avLst/>
        </a:prstGeom>
      </xdr:spPr>
    </xdr:pic>
  </etc:cellImage>
  <etc:cellImage>
    <xdr:pic>
      <xdr:nvPicPr>
        <xdr:cNvPr id="11" name="ID_41640C204E9E4BA3A6B25D5E607956C6" descr="QQ截图20200614150320"/>
        <xdr:cNvPicPr>
          <a:picLocks noChangeAspect="1"/>
        </xdr:cNvPicPr>
      </xdr:nvPicPr>
      <xdr:blipFill>
        <a:blip r:embed="rId71" cstate="print"/>
        <a:stretch>
          <a:fillRect/>
        </a:stretch>
      </xdr:blipFill>
      <xdr:spPr>
        <a:xfrm>
          <a:off x="2537460" y="56424830"/>
          <a:ext cx="1186180" cy="911225"/>
        </a:xfrm>
        <a:prstGeom prst="rect">
          <a:avLst/>
        </a:prstGeom>
      </xdr:spPr>
    </xdr:pic>
  </etc:cellImage>
  <etc:cellImage>
    <xdr:pic>
      <xdr:nvPicPr>
        <xdr:cNvPr id="95" name="ID_560A1721A0574E98B60BE9EFBB4848CA" descr="QQ截图20200614150306"/>
        <xdr:cNvPicPr>
          <a:picLocks noChangeAspect="1"/>
        </xdr:cNvPicPr>
      </xdr:nvPicPr>
      <xdr:blipFill>
        <a:blip r:embed="rId72" cstate="print"/>
        <a:stretch>
          <a:fillRect/>
        </a:stretch>
      </xdr:blipFill>
      <xdr:spPr>
        <a:xfrm>
          <a:off x="2485390" y="57337325"/>
          <a:ext cx="985520" cy="933450"/>
        </a:xfrm>
        <a:prstGeom prst="rect">
          <a:avLst/>
        </a:prstGeom>
      </xdr:spPr>
    </xdr:pic>
  </etc:cellImage>
  <etc:cellImage>
    <xdr:pic>
      <xdr:nvPicPr>
        <xdr:cNvPr id="99" name="ID_3A7A3BFE9D7A45958E1EF450EA932E4F" descr="QQ截图20200614150212"/>
        <xdr:cNvPicPr>
          <a:picLocks noChangeAspect="1"/>
        </xdr:cNvPicPr>
      </xdr:nvPicPr>
      <xdr:blipFill>
        <a:blip r:embed="rId73" cstate="print"/>
        <a:stretch>
          <a:fillRect/>
        </a:stretch>
      </xdr:blipFill>
      <xdr:spPr>
        <a:xfrm>
          <a:off x="2409825" y="59432825"/>
          <a:ext cx="1063625" cy="905510"/>
        </a:xfrm>
        <a:prstGeom prst="rect">
          <a:avLst/>
        </a:prstGeom>
      </xdr:spPr>
    </xdr:pic>
  </etc:cellImage>
  <etc:cellImage>
    <xdr:pic>
      <xdr:nvPicPr>
        <xdr:cNvPr id="313" name="ID_1B030FA40EBD40F7AA3BF71BA9159172" descr="QQ截图20200829173145"/>
        <xdr:cNvPicPr>
          <a:picLocks noChangeAspect="1"/>
        </xdr:cNvPicPr>
      </xdr:nvPicPr>
      <xdr:blipFill>
        <a:blip r:embed="rId74" cstate="print"/>
        <a:stretch>
          <a:fillRect/>
        </a:stretch>
      </xdr:blipFill>
      <xdr:spPr>
        <a:xfrm>
          <a:off x="2485390" y="62376050"/>
          <a:ext cx="1001395" cy="905510"/>
        </a:xfrm>
        <a:prstGeom prst="rect">
          <a:avLst/>
        </a:prstGeom>
      </xdr:spPr>
    </xdr:pic>
  </etc:cellImage>
  <etc:cellImage>
    <xdr:pic>
      <xdr:nvPicPr>
        <xdr:cNvPr id="12" name="ID_D18E122797B5444F81079FFB4A51E533" descr="QQ截图20200614205839"/>
        <xdr:cNvPicPr>
          <a:picLocks noChangeAspect="1"/>
        </xdr:cNvPicPr>
      </xdr:nvPicPr>
      <xdr:blipFill>
        <a:blip r:embed="rId75" cstate="print"/>
        <a:stretch>
          <a:fillRect/>
        </a:stretch>
      </xdr:blipFill>
      <xdr:spPr>
        <a:xfrm>
          <a:off x="2668270" y="63550800"/>
          <a:ext cx="884555" cy="501015"/>
        </a:xfrm>
        <a:prstGeom prst="rect">
          <a:avLst/>
        </a:prstGeom>
      </xdr:spPr>
    </xdr:pic>
  </etc:cellImage>
  <etc:cellImage>
    <xdr:pic>
      <xdr:nvPicPr>
        <xdr:cNvPr id="154" name="ID_7BFA5F72F76A48A4AFBD9EE637262038" descr="QQ截图20200614205825"/>
        <xdr:cNvPicPr>
          <a:picLocks noChangeAspect="1"/>
        </xdr:cNvPicPr>
      </xdr:nvPicPr>
      <xdr:blipFill>
        <a:blip r:embed="rId76" cstate="print"/>
        <a:stretch>
          <a:fillRect/>
        </a:stretch>
      </xdr:blipFill>
      <xdr:spPr>
        <a:xfrm>
          <a:off x="2428875" y="64366140"/>
          <a:ext cx="1042035" cy="772795"/>
        </a:xfrm>
        <a:prstGeom prst="rect">
          <a:avLst/>
        </a:prstGeom>
      </xdr:spPr>
    </xdr:pic>
  </etc:cellImage>
  <etc:cellImage>
    <xdr:pic>
      <xdr:nvPicPr>
        <xdr:cNvPr id="135" name="ID_E2A4E2EA1E824D1694102B7E8A4730C3" descr="QQ截图20200614173100"/>
        <xdr:cNvPicPr>
          <a:picLocks noChangeAspect="1"/>
        </xdr:cNvPicPr>
      </xdr:nvPicPr>
      <xdr:blipFill>
        <a:blip r:embed="rId77" cstate="print"/>
        <a:stretch>
          <a:fillRect/>
        </a:stretch>
      </xdr:blipFill>
      <xdr:spPr>
        <a:xfrm>
          <a:off x="2552700" y="65243075"/>
          <a:ext cx="895350" cy="895985"/>
        </a:xfrm>
        <a:prstGeom prst="rect">
          <a:avLst/>
        </a:prstGeom>
      </xdr:spPr>
    </xdr:pic>
  </etc:cellImage>
  <etc:cellImage>
    <xdr:pic>
      <xdr:nvPicPr>
        <xdr:cNvPr id="133" name="ID_3187EB9B393648B99717196D9D1C62B1" descr="QQ截图20200614173046"/>
        <xdr:cNvPicPr>
          <a:picLocks noChangeAspect="1"/>
        </xdr:cNvPicPr>
      </xdr:nvPicPr>
      <xdr:blipFill>
        <a:blip r:embed="rId78" cstate="print"/>
        <a:stretch>
          <a:fillRect/>
        </a:stretch>
      </xdr:blipFill>
      <xdr:spPr>
        <a:xfrm>
          <a:off x="2600325" y="66195575"/>
          <a:ext cx="800100" cy="895985"/>
        </a:xfrm>
        <a:prstGeom prst="rect">
          <a:avLst/>
        </a:prstGeom>
      </xdr:spPr>
    </xdr:pic>
  </etc:cellImage>
  <etc:cellImage>
    <xdr:pic>
      <xdr:nvPicPr>
        <xdr:cNvPr id="134" name="ID_7044AA6C56AD4076A174C1501E4DF066" descr="QQ截图20200614173030"/>
        <xdr:cNvPicPr>
          <a:picLocks noChangeAspect="1"/>
        </xdr:cNvPicPr>
      </xdr:nvPicPr>
      <xdr:blipFill>
        <a:blip r:embed="rId79" cstate="print"/>
        <a:stretch>
          <a:fillRect/>
        </a:stretch>
      </xdr:blipFill>
      <xdr:spPr>
        <a:xfrm>
          <a:off x="2428240" y="67157600"/>
          <a:ext cx="1043305" cy="895985"/>
        </a:xfrm>
        <a:prstGeom prst="rect">
          <a:avLst/>
        </a:prstGeom>
      </xdr:spPr>
    </xdr:pic>
  </etc:cellImage>
  <etc:cellImage>
    <xdr:pic>
      <xdr:nvPicPr>
        <xdr:cNvPr id="136" name="ID_5E4569FB38814A3FA51836A4AF3ACE8E" descr="QQ截图20200614173858"/>
        <xdr:cNvPicPr>
          <a:picLocks noChangeAspect="1"/>
        </xdr:cNvPicPr>
      </xdr:nvPicPr>
      <xdr:blipFill>
        <a:blip r:embed="rId80" cstate="print"/>
        <a:stretch>
          <a:fillRect/>
        </a:stretch>
      </xdr:blipFill>
      <xdr:spPr>
        <a:xfrm>
          <a:off x="2505075" y="68129150"/>
          <a:ext cx="988695" cy="895350"/>
        </a:xfrm>
        <a:prstGeom prst="rect">
          <a:avLst/>
        </a:prstGeom>
      </xdr:spPr>
    </xdr:pic>
  </etc:cellImage>
  <etc:cellImage>
    <xdr:pic>
      <xdr:nvPicPr>
        <xdr:cNvPr id="6" name="ID_8CC6EF7511184DA0B9F8922658EC6B3F" descr="4"/>
        <xdr:cNvPicPr>
          <a:picLocks noChangeAspect="1"/>
        </xdr:cNvPicPr>
      </xdr:nvPicPr>
      <xdr:blipFill>
        <a:blip r:embed="rId81" cstate="print"/>
        <a:stretch>
          <a:fillRect/>
        </a:stretch>
      </xdr:blipFill>
      <xdr:spPr>
        <a:xfrm>
          <a:off x="2463165" y="70037960"/>
          <a:ext cx="994410" cy="885825"/>
        </a:xfrm>
        <a:prstGeom prst="rect">
          <a:avLst/>
        </a:prstGeom>
      </xdr:spPr>
    </xdr:pic>
  </etc:cellImage>
  <etc:cellImage>
    <xdr:pic>
      <xdr:nvPicPr>
        <xdr:cNvPr id="363" name="ID_4C803B9E90814C20942AB86131EC018D" descr="4"/>
        <xdr:cNvPicPr>
          <a:picLocks noChangeAspect="1"/>
        </xdr:cNvPicPr>
      </xdr:nvPicPr>
      <xdr:blipFill>
        <a:blip r:embed="rId81" cstate="print"/>
        <a:stretch>
          <a:fillRect/>
        </a:stretch>
      </xdr:blipFill>
      <xdr:spPr>
        <a:xfrm>
          <a:off x="2680970" y="71100950"/>
          <a:ext cx="607060" cy="657225"/>
        </a:xfrm>
        <a:prstGeom prst="rect">
          <a:avLst/>
        </a:prstGeom>
      </xdr:spPr>
    </xdr:pic>
  </etc:cellImage>
  <etc:cellImage>
    <xdr:pic>
      <xdr:nvPicPr>
        <xdr:cNvPr id="7" name="ID_982B2D47EA294C5CBBA90F46A741E0D6" descr="5"/>
        <xdr:cNvPicPr>
          <a:picLocks noChangeAspect="1"/>
        </xdr:cNvPicPr>
      </xdr:nvPicPr>
      <xdr:blipFill>
        <a:blip r:embed="rId82" cstate="print"/>
        <a:stretch>
          <a:fillRect/>
        </a:stretch>
      </xdr:blipFill>
      <xdr:spPr>
        <a:xfrm>
          <a:off x="2428875" y="71891525"/>
          <a:ext cx="1044575" cy="924560"/>
        </a:xfrm>
        <a:prstGeom prst="rect">
          <a:avLst/>
        </a:prstGeom>
      </xdr:spPr>
    </xdr:pic>
  </etc:cellImage>
  <etc:cellImage>
    <xdr:pic>
      <xdr:nvPicPr>
        <xdr:cNvPr id="9" name="ID_AC6D14B339E849F6B2A28A49933305B8" descr="1"/>
        <xdr:cNvPicPr>
          <a:picLocks noChangeAspect="1"/>
        </xdr:cNvPicPr>
      </xdr:nvPicPr>
      <xdr:blipFill>
        <a:blip r:embed="rId83" cstate="print"/>
        <a:stretch>
          <a:fillRect/>
        </a:stretch>
      </xdr:blipFill>
      <xdr:spPr>
        <a:xfrm flipH="1">
          <a:off x="2471420" y="72857995"/>
          <a:ext cx="877570" cy="895985"/>
        </a:xfrm>
        <a:prstGeom prst="rect">
          <a:avLst/>
        </a:prstGeom>
      </xdr:spPr>
    </xdr:pic>
  </etc:cellImage>
  <etc:cellImage>
    <xdr:pic>
      <xdr:nvPicPr>
        <xdr:cNvPr id="8" name="ID_7664A472FD77456784C68CC8B71C986A" descr="3"/>
        <xdr:cNvPicPr>
          <a:picLocks noChangeAspect="1"/>
        </xdr:cNvPicPr>
      </xdr:nvPicPr>
      <xdr:blipFill>
        <a:blip r:embed="rId84" cstate="print"/>
        <a:stretch>
          <a:fillRect/>
        </a:stretch>
      </xdr:blipFill>
      <xdr:spPr>
        <a:xfrm rot="5400000" flipH="1">
          <a:off x="2655570" y="73717785"/>
          <a:ext cx="697865" cy="1191260"/>
        </a:xfrm>
        <a:prstGeom prst="rect">
          <a:avLst/>
        </a:prstGeom>
      </xdr:spPr>
    </xdr:pic>
  </etc:cellImage>
  <etc:cellImage>
    <xdr:pic>
      <xdr:nvPicPr>
        <xdr:cNvPr id="10" name="ID_4E0DFEA6407348E087A012935D43A8F4" descr="2"/>
        <xdr:cNvPicPr>
          <a:picLocks noChangeAspect="1"/>
        </xdr:cNvPicPr>
      </xdr:nvPicPr>
      <xdr:blipFill>
        <a:blip r:embed="rId85" cstate="print"/>
        <a:stretch>
          <a:fillRect/>
        </a:stretch>
      </xdr:blipFill>
      <xdr:spPr>
        <a:xfrm flipH="1">
          <a:off x="2578735" y="74775060"/>
          <a:ext cx="762000" cy="858520"/>
        </a:xfrm>
        <a:prstGeom prst="rect">
          <a:avLst/>
        </a:prstGeom>
      </xdr:spPr>
    </xdr:pic>
  </etc:cellImage>
  <etc:cellImage>
    <xdr:pic>
      <xdr:nvPicPr>
        <xdr:cNvPr id="320" name="ID_095A23C73E5D44DB8718B81954340A64" descr="QQ截图20200829183149"/>
        <xdr:cNvPicPr>
          <a:picLocks noChangeAspect="1"/>
        </xdr:cNvPicPr>
      </xdr:nvPicPr>
      <xdr:blipFill>
        <a:blip r:embed="rId86" cstate="print"/>
        <a:stretch>
          <a:fillRect/>
        </a:stretch>
      </xdr:blipFill>
      <xdr:spPr>
        <a:xfrm>
          <a:off x="2457450" y="75720575"/>
          <a:ext cx="1143000" cy="914400"/>
        </a:xfrm>
        <a:prstGeom prst="rect">
          <a:avLst/>
        </a:prstGeom>
      </xdr:spPr>
    </xdr:pic>
  </etc:cellImage>
  <etc:cellImage>
    <xdr:pic>
      <xdr:nvPicPr>
        <xdr:cNvPr id="319" name="ID_77D7813B004447B697D8C88AA7698DF7" descr="QQ截图20200829183202"/>
        <xdr:cNvPicPr>
          <a:picLocks noChangeAspect="1"/>
        </xdr:cNvPicPr>
      </xdr:nvPicPr>
      <xdr:blipFill>
        <a:blip r:embed="rId87" cstate="print"/>
        <a:stretch>
          <a:fillRect/>
        </a:stretch>
      </xdr:blipFill>
      <xdr:spPr>
        <a:xfrm>
          <a:off x="2466340" y="76691490"/>
          <a:ext cx="1134110" cy="867410"/>
        </a:xfrm>
        <a:prstGeom prst="rect">
          <a:avLst/>
        </a:prstGeom>
      </xdr:spPr>
    </xdr:pic>
  </etc:cellImage>
  <etc:cellImage>
    <xdr:pic>
      <xdr:nvPicPr>
        <xdr:cNvPr id="321" name="ID_DEFB3475282E48599F7B2D694B98F53B" descr="QQ截图20200829183136"/>
        <xdr:cNvPicPr>
          <a:picLocks noChangeAspect="1"/>
        </xdr:cNvPicPr>
      </xdr:nvPicPr>
      <xdr:blipFill>
        <a:blip r:embed="rId88" cstate="print"/>
        <a:stretch>
          <a:fillRect/>
        </a:stretch>
      </xdr:blipFill>
      <xdr:spPr>
        <a:xfrm>
          <a:off x="2456815" y="77616050"/>
          <a:ext cx="1143635" cy="905510"/>
        </a:xfrm>
        <a:prstGeom prst="rect">
          <a:avLst/>
        </a:prstGeom>
      </xdr:spPr>
    </xdr:pic>
  </etc:cellImage>
  <etc:cellImage>
    <xdr:pic>
      <xdr:nvPicPr>
        <xdr:cNvPr id="322" name="ID_276ED1DEC54C4CBEBF84C565942337D5" descr="QQ截图20200829183124"/>
        <xdr:cNvPicPr>
          <a:picLocks noChangeAspect="1"/>
        </xdr:cNvPicPr>
      </xdr:nvPicPr>
      <xdr:blipFill>
        <a:blip r:embed="rId89" cstate="print"/>
        <a:stretch>
          <a:fillRect/>
        </a:stretch>
      </xdr:blipFill>
      <xdr:spPr>
        <a:xfrm>
          <a:off x="2505075" y="78672690"/>
          <a:ext cx="1095375" cy="706120"/>
        </a:xfrm>
        <a:prstGeom prst="rect">
          <a:avLst/>
        </a:prstGeom>
      </xdr:spPr>
    </xdr:pic>
  </etc:cellImage>
  <etc:cellImage>
    <xdr:pic>
      <xdr:nvPicPr>
        <xdr:cNvPr id="396" name="ID_F2E299BEBB9A4FCCA49E26226E3B65E3" descr="微信图片_2021021516480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694305" y="114881660"/>
          <a:ext cx="924560" cy="801370"/>
        </a:xfrm>
        <a:prstGeom prst="rect">
          <a:avLst/>
        </a:prstGeom>
      </xdr:spPr>
    </xdr:pic>
  </etc:cellImage>
  <etc:cellImage>
    <xdr:pic>
      <xdr:nvPicPr>
        <xdr:cNvPr id="323" name="ID_9018441F69A948CF883C66A8E4B785C9" descr="QQ截图20200829183124"/>
        <xdr:cNvPicPr>
          <a:picLocks noChangeAspect="1"/>
        </xdr:cNvPicPr>
      </xdr:nvPicPr>
      <xdr:blipFill>
        <a:blip r:embed="rId89" cstate="print"/>
        <a:stretch>
          <a:fillRect/>
        </a:stretch>
      </xdr:blipFill>
      <xdr:spPr>
        <a:xfrm>
          <a:off x="2438400" y="79540100"/>
          <a:ext cx="1162050" cy="895985"/>
        </a:xfrm>
        <a:prstGeom prst="rect">
          <a:avLst/>
        </a:prstGeom>
      </xdr:spPr>
    </xdr:pic>
  </etc:cellImage>
  <etc:cellImage>
    <xdr:pic>
      <xdr:nvPicPr>
        <xdr:cNvPr id="340" name="ID_378A12AD9A66459A9CFB299EBADCC6CE" descr="QQ截图20200829182705"/>
        <xdr:cNvPicPr>
          <a:picLocks noChangeAspect="1"/>
        </xdr:cNvPicPr>
      </xdr:nvPicPr>
      <xdr:blipFill>
        <a:blip r:embed="rId91" cstate="print"/>
        <a:stretch>
          <a:fillRect/>
        </a:stretch>
      </xdr:blipFill>
      <xdr:spPr>
        <a:xfrm>
          <a:off x="2475865" y="80482440"/>
          <a:ext cx="982980" cy="876935"/>
        </a:xfrm>
        <a:prstGeom prst="rect">
          <a:avLst/>
        </a:prstGeom>
      </xdr:spPr>
    </xdr:pic>
  </etc:cellImage>
  <etc:cellImage>
    <xdr:pic>
      <xdr:nvPicPr>
        <xdr:cNvPr id="339" name="ID_2B5849F0B2D34D7BB6028B6AC890A157" descr="QQ截图20200829182721"/>
        <xdr:cNvPicPr>
          <a:picLocks noChangeAspect="1"/>
        </xdr:cNvPicPr>
      </xdr:nvPicPr>
      <xdr:blipFill>
        <a:blip r:embed="rId92" cstate="print"/>
        <a:stretch>
          <a:fillRect/>
        </a:stretch>
      </xdr:blipFill>
      <xdr:spPr>
        <a:xfrm>
          <a:off x="2524125" y="81511140"/>
          <a:ext cx="838200" cy="820420"/>
        </a:xfrm>
        <a:prstGeom prst="rect">
          <a:avLst/>
        </a:prstGeom>
      </xdr:spPr>
    </xdr:pic>
  </etc:cellImage>
  <etc:cellImage>
    <xdr:pic>
      <xdr:nvPicPr>
        <xdr:cNvPr id="336" name="ID_B4F4AA4A825143C1A453AF8CCBE4CC5A" descr="QQ截图20200829182813"/>
        <xdr:cNvPicPr>
          <a:picLocks noChangeAspect="1"/>
        </xdr:cNvPicPr>
      </xdr:nvPicPr>
      <xdr:blipFill>
        <a:blip r:embed="rId93" cstate="print"/>
        <a:stretch>
          <a:fillRect/>
        </a:stretch>
      </xdr:blipFill>
      <xdr:spPr>
        <a:xfrm>
          <a:off x="2571750" y="82435065"/>
          <a:ext cx="790575" cy="819785"/>
        </a:xfrm>
        <a:prstGeom prst="rect">
          <a:avLst/>
        </a:prstGeom>
      </xdr:spPr>
    </xdr:pic>
  </etc:cellImage>
  <etc:cellImage>
    <xdr:pic>
      <xdr:nvPicPr>
        <xdr:cNvPr id="324" name="ID_FC1742E3C706423FA83F6EC4F691BD90" descr="QQ截图20200829183106"/>
        <xdr:cNvPicPr>
          <a:picLocks noChangeAspect="1"/>
        </xdr:cNvPicPr>
      </xdr:nvPicPr>
      <xdr:blipFill>
        <a:blip r:embed="rId94" cstate="print"/>
        <a:stretch>
          <a:fillRect/>
        </a:stretch>
      </xdr:blipFill>
      <xdr:spPr>
        <a:xfrm>
          <a:off x="2647315" y="83378675"/>
          <a:ext cx="743585" cy="866775"/>
        </a:xfrm>
        <a:prstGeom prst="rect">
          <a:avLst/>
        </a:prstGeom>
      </xdr:spPr>
    </xdr:pic>
  </etc:cellImage>
  <etc:cellImage>
    <xdr:pic>
      <xdr:nvPicPr>
        <xdr:cNvPr id="325" name="ID_805919F3E98A424BAAAE4BF70191A2FC" descr="QQ截图20200829183045"/>
        <xdr:cNvPicPr>
          <a:picLocks noChangeAspect="1"/>
        </xdr:cNvPicPr>
      </xdr:nvPicPr>
      <xdr:blipFill>
        <a:blip r:embed="rId95" cstate="print"/>
        <a:stretch>
          <a:fillRect/>
        </a:stretch>
      </xdr:blipFill>
      <xdr:spPr>
        <a:xfrm>
          <a:off x="2466340" y="84301965"/>
          <a:ext cx="1134110" cy="839470"/>
        </a:xfrm>
        <a:prstGeom prst="rect">
          <a:avLst/>
        </a:prstGeom>
      </xdr:spPr>
    </xdr:pic>
  </etc:cellImage>
  <etc:cellImage>
    <xdr:pic>
      <xdr:nvPicPr>
        <xdr:cNvPr id="335" name="ID_A8B9DF48744046E8B78C2CC74DE1FF59" descr="QQ截图20200829182830"/>
        <xdr:cNvPicPr>
          <a:picLocks noChangeAspect="1"/>
        </xdr:cNvPicPr>
      </xdr:nvPicPr>
      <xdr:blipFill>
        <a:blip r:embed="rId96" cstate="print"/>
        <a:stretch>
          <a:fillRect/>
        </a:stretch>
      </xdr:blipFill>
      <xdr:spPr>
        <a:xfrm>
          <a:off x="2513965" y="85292565"/>
          <a:ext cx="1086485" cy="829945"/>
        </a:xfrm>
        <a:prstGeom prst="rect">
          <a:avLst/>
        </a:prstGeom>
      </xdr:spPr>
    </xdr:pic>
  </etc:cellImage>
  <etc:cellImage>
    <xdr:pic>
      <xdr:nvPicPr>
        <xdr:cNvPr id="343" name="ID_4AB0FDA7BCF44F94877C726BDA11CC4F" descr="QQ截图20200829184928"/>
        <xdr:cNvPicPr>
          <a:picLocks noChangeAspect="1"/>
        </xdr:cNvPicPr>
      </xdr:nvPicPr>
      <xdr:blipFill>
        <a:blip r:embed="rId97" cstate="print"/>
        <a:stretch>
          <a:fillRect/>
        </a:stretch>
      </xdr:blipFill>
      <xdr:spPr>
        <a:xfrm>
          <a:off x="2538730" y="87193120"/>
          <a:ext cx="866775" cy="877570"/>
        </a:xfrm>
        <a:prstGeom prst="rect">
          <a:avLst/>
        </a:prstGeom>
      </xdr:spPr>
    </xdr:pic>
  </etc:cellImage>
  <etc:cellImage>
    <xdr:pic>
      <xdr:nvPicPr>
        <xdr:cNvPr id="326" name="ID_DFF26CA7A0134AF781B1DA0C538E9119" descr="QQ截图20200829183029"/>
        <xdr:cNvPicPr>
          <a:picLocks noChangeAspect="1"/>
        </xdr:cNvPicPr>
      </xdr:nvPicPr>
      <xdr:blipFill>
        <a:blip r:embed="rId98" cstate="print"/>
        <a:stretch>
          <a:fillRect/>
        </a:stretch>
      </xdr:blipFill>
      <xdr:spPr>
        <a:xfrm>
          <a:off x="2466975" y="88112600"/>
          <a:ext cx="1133475" cy="876935"/>
        </a:xfrm>
        <a:prstGeom prst="rect">
          <a:avLst/>
        </a:prstGeom>
      </xdr:spPr>
    </xdr:pic>
  </etc:cellImage>
  <etc:cellImage>
    <xdr:pic>
      <xdr:nvPicPr>
        <xdr:cNvPr id="334" name="ID_21CB78108E61470FA9575F7A8FE06CDC" descr="QQ截图20200829182847"/>
        <xdr:cNvPicPr>
          <a:picLocks noChangeAspect="1"/>
        </xdr:cNvPicPr>
      </xdr:nvPicPr>
      <xdr:blipFill>
        <a:blip r:embed="rId99" cstate="print"/>
        <a:stretch>
          <a:fillRect/>
        </a:stretch>
      </xdr:blipFill>
      <xdr:spPr>
        <a:xfrm>
          <a:off x="2618740" y="89140665"/>
          <a:ext cx="659130" cy="782955"/>
        </a:xfrm>
        <a:prstGeom prst="rect">
          <a:avLst/>
        </a:prstGeom>
      </xdr:spPr>
    </xdr:pic>
  </etc:cellImage>
  <etc:cellImage>
    <xdr:pic>
      <xdr:nvPicPr>
        <xdr:cNvPr id="333" name="ID_34B51BF8EE4E410E837C627D04125D45" descr="QQ截图20200829182904"/>
        <xdr:cNvPicPr>
          <a:picLocks noChangeAspect="1"/>
        </xdr:cNvPicPr>
      </xdr:nvPicPr>
      <xdr:blipFill>
        <a:blip r:embed="rId100" cstate="print"/>
        <a:stretch>
          <a:fillRect/>
        </a:stretch>
      </xdr:blipFill>
      <xdr:spPr>
        <a:xfrm>
          <a:off x="2466340" y="90979625"/>
          <a:ext cx="1134110" cy="876935"/>
        </a:xfrm>
        <a:prstGeom prst="rect">
          <a:avLst/>
        </a:prstGeom>
      </xdr:spPr>
    </xdr:pic>
  </etc:cellImage>
  <etc:cellImage>
    <xdr:pic>
      <xdr:nvPicPr>
        <xdr:cNvPr id="346" name="ID_E3F9FBB666714DC7A807EA85D173B5D7" descr="QQ截图20200829185351"/>
        <xdr:cNvPicPr>
          <a:picLocks noChangeAspect="1"/>
        </xdr:cNvPicPr>
      </xdr:nvPicPr>
      <xdr:blipFill>
        <a:blip r:embed="rId101" cstate="print"/>
        <a:stretch>
          <a:fillRect/>
        </a:stretch>
      </xdr:blipFill>
      <xdr:spPr>
        <a:xfrm>
          <a:off x="2438400" y="91950540"/>
          <a:ext cx="1162050" cy="801370"/>
        </a:xfrm>
        <a:prstGeom prst="rect">
          <a:avLst/>
        </a:prstGeom>
      </xdr:spPr>
    </xdr:pic>
  </etc:cellImage>
  <etc:cellImage>
    <xdr:pic>
      <xdr:nvPicPr>
        <xdr:cNvPr id="328" name="ID_94B0A4EEA4504A52AF946738A7B01075" descr="QQ截图20200829183006"/>
        <xdr:cNvPicPr>
          <a:picLocks noChangeAspect="1"/>
        </xdr:cNvPicPr>
      </xdr:nvPicPr>
      <xdr:blipFill>
        <a:blip r:embed="rId102" cstate="print"/>
        <a:stretch>
          <a:fillRect/>
        </a:stretch>
      </xdr:blipFill>
      <xdr:spPr>
        <a:xfrm>
          <a:off x="2485390" y="92902405"/>
          <a:ext cx="1000760" cy="792480"/>
        </a:xfrm>
        <a:prstGeom prst="rect">
          <a:avLst/>
        </a:prstGeom>
      </xdr:spPr>
    </xdr:pic>
  </etc:cellImage>
  <etc:cellImage>
    <xdr:pic>
      <xdr:nvPicPr>
        <xdr:cNvPr id="331" name="ID_1DDC16F7C0F64279B8F808669B55BB94" descr="QQ截图20200829182915"/>
        <xdr:cNvPicPr>
          <a:picLocks noChangeAspect="1"/>
        </xdr:cNvPicPr>
      </xdr:nvPicPr>
      <xdr:blipFill>
        <a:blip r:embed="rId103" cstate="print"/>
        <a:stretch>
          <a:fillRect/>
        </a:stretch>
      </xdr:blipFill>
      <xdr:spPr>
        <a:xfrm>
          <a:off x="2486025" y="93835855"/>
          <a:ext cx="1114425" cy="830580"/>
        </a:xfrm>
        <a:prstGeom prst="rect">
          <a:avLst/>
        </a:prstGeom>
      </xdr:spPr>
    </xdr:pic>
  </etc:cellImage>
  <etc:cellImage>
    <xdr:pic>
      <xdr:nvPicPr>
        <xdr:cNvPr id="122" name="ID_8074849451B748A99E85EA22191C9387" descr="QQ截图20200614163348"/>
        <xdr:cNvPicPr>
          <a:picLocks noChangeAspect="1"/>
        </xdr:cNvPicPr>
      </xdr:nvPicPr>
      <xdr:blipFill>
        <a:blip r:embed="rId104" cstate="print"/>
        <a:stretch>
          <a:fillRect/>
        </a:stretch>
      </xdr:blipFill>
      <xdr:spPr>
        <a:xfrm>
          <a:off x="2571115" y="94818200"/>
          <a:ext cx="876935" cy="868045"/>
        </a:xfrm>
        <a:prstGeom prst="rect">
          <a:avLst/>
        </a:prstGeom>
      </xdr:spPr>
    </xdr:pic>
  </etc:cellImage>
  <etc:cellImage>
    <xdr:pic>
      <xdr:nvPicPr>
        <xdr:cNvPr id="121" name="ID_CF863806BC3141D1BF33E8E51F27CC95" descr="QQ截图20200614163325"/>
        <xdr:cNvPicPr>
          <a:picLocks noChangeAspect="1"/>
        </xdr:cNvPicPr>
      </xdr:nvPicPr>
      <xdr:blipFill>
        <a:blip r:embed="rId105" cstate="print"/>
        <a:stretch>
          <a:fillRect/>
        </a:stretch>
      </xdr:blipFill>
      <xdr:spPr>
        <a:xfrm>
          <a:off x="2494915" y="95742125"/>
          <a:ext cx="963295" cy="857885"/>
        </a:xfrm>
        <a:prstGeom prst="rect">
          <a:avLst/>
        </a:prstGeom>
      </xdr:spPr>
    </xdr:pic>
  </etc:cellImage>
  <etc:cellImage>
    <xdr:pic>
      <xdr:nvPicPr>
        <xdr:cNvPr id="123" name="ID_4DC26CDD197F45AD8A23CBDF17E39EE5" descr="QQ截图20200614163433"/>
        <xdr:cNvPicPr>
          <a:picLocks noChangeAspect="1"/>
        </xdr:cNvPicPr>
      </xdr:nvPicPr>
      <xdr:blipFill>
        <a:blip r:embed="rId106" cstate="print"/>
        <a:stretch>
          <a:fillRect/>
        </a:stretch>
      </xdr:blipFill>
      <xdr:spPr>
        <a:xfrm>
          <a:off x="2485390" y="96722565"/>
          <a:ext cx="982345" cy="838835"/>
        </a:xfrm>
        <a:prstGeom prst="rect">
          <a:avLst/>
        </a:prstGeom>
      </xdr:spPr>
    </xdr:pic>
  </etc:cellImage>
  <etc:cellImage>
    <xdr:pic>
      <xdr:nvPicPr>
        <xdr:cNvPr id="125" name="ID_D7D9858109414B9FA300156845555DA3" descr="QQ截图20200614163405"/>
        <xdr:cNvPicPr>
          <a:picLocks noChangeAspect="1"/>
        </xdr:cNvPicPr>
      </xdr:nvPicPr>
      <xdr:blipFill>
        <a:blip r:embed="rId107" cstate="print"/>
        <a:stretch>
          <a:fillRect/>
        </a:stretch>
      </xdr:blipFill>
      <xdr:spPr>
        <a:xfrm>
          <a:off x="2447290" y="98618040"/>
          <a:ext cx="1153160" cy="848360"/>
        </a:xfrm>
        <a:prstGeom prst="rect">
          <a:avLst/>
        </a:prstGeom>
      </xdr:spPr>
    </xdr:pic>
  </etc:cellImage>
  <etc:cellImage>
    <xdr:pic>
      <xdr:nvPicPr>
        <xdr:cNvPr id="119" name="ID_0479B533D68043429BB45AE98094544A" descr="QQ截图20200614163447"/>
        <xdr:cNvPicPr>
          <a:picLocks noChangeAspect="1"/>
        </xdr:cNvPicPr>
      </xdr:nvPicPr>
      <xdr:blipFill>
        <a:blip r:embed="rId108" cstate="print"/>
        <a:stretch>
          <a:fillRect/>
        </a:stretch>
      </xdr:blipFill>
      <xdr:spPr>
        <a:xfrm>
          <a:off x="2447290" y="99580065"/>
          <a:ext cx="1025525" cy="838835"/>
        </a:xfrm>
        <a:prstGeom prst="rect">
          <a:avLst/>
        </a:prstGeom>
      </xdr:spPr>
    </xdr:pic>
  </etc:cellImage>
  <etc:cellImage>
    <xdr:pic>
      <xdr:nvPicPr>
        <xdr:cNvPr id="33" name="ID_17F5D243F9694C0F8E971B9E8988A59A" descr="533fe34640fb059c463d345e67f36ff"/>
        <xdr:cNvPicPr>
          <a:picLocks noChangeAspect="1"/>
        </xdr:cNvPicPr>
      </xdr:nvPicPr>
      <xdr:blipFill>
        <a:blip r:embed="rId109" cstate="print"/>
        <a:stretch>
          <a:fillRect/>
        </a:stretch>
      </xdr:blipFill>
      <xdr:spPr>
        <a:xfrm>
          <a:off x="2547620" y="148659215"/>
          <a:ext cx="1224280" cy="879475"/>
        </a:xfrm>
        <a:prstGeom prst="rect">
          <a:avLst/>
        </a:prstGeom>
      </xdr:spPr>
    </xdr:pic>
  </etc:cellImage>
  <etc:cellImage>
    <xdr:pic>
      <xdr:nvPicPr>
        <xdr:cNvPr id="118" name="ID_93DA4F55563A435D8C38865D6B4ABF1C" descr="QQ截图20200614163713"/>
        <xdr:cNvPicPr>
          <a:picLocks noChangeAspect="1"/>
        </xdr:cNvPicPr>
      </xdr:nvPicPr>
      <xdr:blipFill>
        <a:blip r:embed="rId110" cstate="print"/>
        <a:stretch>
          <a:fillRect/>
        </a:stretch>
      </xdr:blipFill>
      <xdr:spPr>
        <a:xfrm>
          <a:off x="2447925" y="100561140"/>
          <a:ext cx="1023620" cy="829310"/>
        </a:xfrm>
        <a:prstGeom prst="rect">
          <a:avLst/>
        </a:prstGeom>
      </xdr:spPr>
    </xdr:pic>
  </etc:cellImage>
  <etc:cellImage>
    <xdr:pic>
      <xdr:nvPicPr>
        <xdr:cNvPr id="130" name="ID_130E1CE10B084990B268A0832296CAAB" descr="QQ截图20200614170329"/>
        <xdr:cNvPicPr>
          <a:picLocks noChangeAspect="1"/>
        </xdr:cNvPicPr>
      </xdr:nvPicPr>
      <xdr:blipFill>
        <a:blip r:embed="rId111" cstate="print"/>
        <a:stretch>
          <a:fillRect/>
        </a:stretch>
      </xdr:blipFill>
      <xdr:spPr>
        <a:xfrm>
          <a:off x="2504440" y="101495225"/>
          <a:ext cx="966470" cy="838200"/>
        </a:xfrm>
        <a:prstGeom prst="rect">
          <a:avLst/>
        </a:prstGeom>
      </xdr:spPr>
    </xdr:pic>
  </etc:cellImage>
  <etc:cellImage>
    <xdr:pic>
      <xdr:nvPicPr>
        <xdr:cNvPr id="151" name="ID_4DE8F83A9A4347A28E67B46567872F68" descr="QQ截图20200614192645"/>
        <xdr:cNvPicPr>
          <a:picLocks noChangeAspect="1"/>
        </xdr:cNvPicPr>
      </xdr:nvPicPr>
      <xdr:blipFill>
        <a:blip r:embed="rId112" cstate="print"/>
        <a:stretch>
          <a:fillRect/>
        </a:stretch>
      </xdr:blipFill>
      <xdr:spPr>
        <a:xfrm>
          <a:off x="2437765" y="102399465"/>
          <a:ext cx="1033780" cy="876935"/>
        </a:xfrm>
        <a:prstGeom prst="rect">
          <a:avLst/>
        </a:prstGeom>
      </xdr:spPr>
    </xdr:pic>
  </etc:cellImage>
  <etc:cellImage>
    <xdr:pic>
      <xdr:nvPicPr>
        <xdr:cNvPr id="150" name="ID_21841BBC577847DF8AFE4F8EAF602A61" descr="QQ截图20200614192634"/>
        <xdr:cNvPicPr>
          <a:picLocks noChangeAspect="1"/>
        </xdr:cNvPicPr>
      </xdr:nvPicPr>
      <xdr:blipFill>
        <a:blip r:embed="rId113" cstate="print"/>
        <a:stretch>
          <a:fillRect/>
        </a:stretch>
      </xdr:blipFill>
      <xdr:spPr>
        <a:xfrm>
          <a:off x="2466975" y="103351965"/>
          <a:ext cx="1005840" cy="884555"/>
        </a:xfrm>
        <a:prstGeom prst="rect">
          <a:avLst/>
        </a:prstGeom>
      </xdr:spPr>
    </xdr:pic>
  </etc:cellImage>
  <etc:cellImage>
    <xdr:pic>
      <xdr:nvPicPr>
        <xdr:cNvPr id="350" name="ID_BEDC89CB9C2A4AE28029FE9D49014842" descr="QQ截图20200829191430"/>
        <xdr:cNvPicPr>
          <a:picLocks noChangeAspect="1"/>
        </xdr:cNvPicPr>
      </xdr:nvPicPr>
      <xdr:blipFill>
        <a:blip r:embed="rId114" cstate="print"/>
        <a:stretch>
          <a:fillRect/>
        </a:stretch>
      </xdr:blipFill>
      <xdr:spPr>
        <a:xfrm>
          <a:off x="2495550" y="104305100"/>
          <a:ext cx="1104900" cy="857250"/>
        </a:xfrm>
        <a:prstGeom prst="rect">
          <a:avLst/>
        </a:prstGeom>
      </xdr:spPr>
    </xdr:pic>
  </etc:cellImage>
  <etc:cellImage>
    <xdr:pic>
      <xdr:nvPicPr>
        <xdr:cNvPr id="355" name="ID_A57FD4D557DF44F183C9B93815A36E67" descr="QQ截图20200829192055"/>
        <xdr:cNvPicPr>
          <a:picLocks noChangeAspect="1"/>
        </xdr:cNvPicPr>
      </xdr:nvPicPr>
      <xdr:blipFill>
        <a:blip r:embed="rId115" cstate="print"/>
        <a:stretch>
          <a:fillRect/>
        </a:stretch>
      </xdr:blipFill>
      <xdr:spPr>
        <a:xfrm>
          <a:off x="2495550" y="105267125"/>
          <a:ext cx="1190625" cy="876300"/>
        </a:xfrm>
        <a:prstGeom prst="rect">
          <a:avLst/>
        </a:prstGeom>
      </xdr:spPr>
    </xdr:pic>
  </etc:cellImage>
  <etc:cellImage>
    <xdr:pic>
      <xdr:nvPicPr>
        <xdr:cNvPr id="356" name="ID_D7B06D064E174DE080AAB79EBF14AFAB" descr="QQ截图20200829192132"/>
        <xdr:cNvPicPr>
          <a:picLocks noChangeAspect="1"/>
        </xdr:cNvPicPr>
      </xdr:nvPicPr>
      <xdr:blipFill>
        <a:blip r:embed="rId116" cstate="print"/>
        <a:stretch>
          <a:fillRect/>
        </a:stretch>
      </xdr:blipFill>
      <xdr:spPr>
        <a:xfrm>
          <a:off x="2505075" y="106191050"/>
          <a:ext cx="1190625" cy="904875"/>
        </a:xfrm>
        <a:prstGeom prst="rect">
          <a:avLst/>
        </a:prstGeom>
      </xdr:spPr>
    </xdr:pic>
  </etc:cellImage>
  <etc:cellImage>
    <xdr:pic>
      <xdr:nvPicPr>
        <xdr:cNvPr id="358" name="ID_EC475B5A0A3042A0905B68484B5FD631" descr="QQ截图20200829192413"/>
        <xdr:cNvPicPr>
          <a:picLocks noChangeAspect="1"/>
        </xdr:cNvPicPr>
      </xdr:nvPicPr>
      <xdr:blipFill>
        <a:blip r:embed="rId117" cstate="print"/>
        <a:stretch>
          <a:fillRect/>
        </a:stretch>
      </xdr:blipFill>
      <xdr:spPr>
        <a:xfrm>
          <a:off x="2533650" y="107190540"/>
          <a:ext cx="1066800" cy="858520"/>
        </a:xfrm>
        <a:prstGeom prst="rect">
          <a:avLst/>
        </a:prstGeom>
      </xdr:spPr>
    </xdr:pic>
  </etc:cellImage>
  <etc:cellImage>
    <xdr:pic>
      <xdr:nvPicPr>
        <xdr:cNvPr id="359" name="ID_B3285F8A5BFE4D1DB3333813CC49E8ED" descr="QQ截图20200829192413"/>
        <xdr:cNvPicPr>
          <a:picLocks noChangeAspect="1"/>
        </xdr:cNvPicPr>
      </xdr:nvPicPr>
      <xdr:blipFill>
        <a:blip r:embed="rId118" cstate="print"/>
        <a:stretch>
          <a:fillRect/>
        </a:stretch>
      </xdr:blipFill>
      <xdr:spPr>
        <a:xfrm>
          <a:off x="2505075" y="108115100"/>
          <a:ext cx="1095375" cy="858520"/>
        </a:xfrm>
        <a:prstGeom prst="rect">
          <a:avLst/>
        </a:prstGeom>
      </xdr:spPr>
    </xdr:pic>
  </etc:cellImage>
  <etc:cellImage>
    <xdr:pic>
      <xdr:nvPicPr>
        <xdr:cNvPr id="15" name="ID_03070F93590E443AAC3B0D75658D4BB1" descr="QQ截图2021021516490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2514600" y="109110145"/>
          <a:ext cx="963295" cy="796290"/>
        </a:xfrm>
        <a:prstGeom prst="rect">
          <a:avLst/>
        </a:prstGeom>
      </xdr:spPr>
    </xdr:pic>
  </etc:cellImage>
  <etc:cellImage>
    <xdr:pic>
      <xdr:nvPicPr>
        <xdr:cNvPr id="330" name="ID_D87EFF9913104FEFAB8A300E0CE0BEEE" descr="微信图片_2021021516480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527935" y="110038515"/>
          <a:ext cx="1072515" cy="864235"/>
        </a:xfrm>
        <a:prstGeom prst="rect">
          <a:avLst/>
        </a:prstGeom>
      </xdr:spPr>
    </xdr:pic>
  </etc:cellImage>
  <etc:cellImage>
    <xdr:pic>
      <xdr:nvPicPr>
        <xdr:cNvPr id="30" name="ID_A692AB2E0949479AB253691B4F84C456" descr="d76852570cfbf602348c332dbc26b8d"/>
        <xdr:cNvPicPr>
          <a:picLocks noChangeAspect="1"/>
        </xdr:cNvPicPr>
      </xdr:nvPicPr>
      <xdr:blipFill>
        <a:blip r:embed="rId120" cstate="print"/>
        <a:stretch>
          <a:fillRect/>
        </a:stretch>
      </xdr:blipFill>
      <xdr:spPr>
        <a:xfrm rot="5400000">
          <a:off x="2557145" y="146700875"/>
          <a:ext cx="816610" cy="1012825"/>
        </a:xfrm>
        <a:prstGeom prst="rect">
          <a:avLst/>
        </a:prstGeom>
      </xdr:spPr>
    </xdr:pic>
  </etc:cellImage>
  <etc:cellImage>
    <xdr:pic>
      <xdr:nvPicPr>
        <xdr:cNvPr id="329" name="ID_56A70DFCF1154D1CA309D08CA7A223C0" descr="QQ截图20210215164932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2549525" y="110970695"/>
          <a:ext cx="932180" cy="856615"/>
        </a:xfrm>
        <a:prstGeom prst="rect">
          <a:avLst/>
        </a:prstGeom>
      </xdr:spPr>
    </xdr:pic>
  </etc:cellImage>
  <etc:cellImage>
    <xdr:pic>
      <xdr:nvPicPr>
        <xdr:cNvPr id="371" name="ID_A2E764EC58B84C92A4C3487878375969" descr="防护服"/>
        <xdr:cNvPicPr>
          <a:picLocks noChangeAspect="1"/>
        </xdr:cNvPicPr>
      </xdr:nvPicPr>
      <xdr:blipFill>
        <a:blip r:embed="rId122" cstate="print"/>
        <a:stretch>
          <a:fillRect/>
        </a:stretch>
      </xdr:blipFill>
      <xdr:spPr>
        <a:xfrm>
          <a:off x="2479040" y="111937165"/>
          <a:ext cx="1121410" cy="822325"/>
        </a:xfrm>
        <a:prstGeom prst="rect">
          <a:avLst/>
        </a:prstGeom>
      </xdr:spPr>
    </xdr:pic>
  </etc:cellImage>
  <etc:cellImage>
    <xdr:pic>
      <xdr:nvPicPr>
        <xdr:cNvPr id="372" name="ID_B34CCB0A25FB48A5BB9854350E74E0AA" descr="一次性隔离服"/>
        <xdr:cNvPicPr>
          <a:picLocks noChangeAspect="1"/>
        </xdr:cNvPicPr>
      </xdr:nvPicPr>
      <xdr:blipFill>
        <a:blip r:embed="rId123" cstate="print"/>
        <a:stretch>
          <a:fillRect/>
        </a:stretch>
      </xdr:blipFill>
      <xdr:spPr>
        <a:xfrm>
          <a:off x="2593340" y="112901095"/>
          <a:ext cx="885190" cy="821690"/>
        </a:xfrm>
        <a:prstGeom prst="rect">
          <a:avLst/>
        </a:prstGeom>
      </xdr:spPr>
    </xdr:pic>
  </etc:cellImage>
  <etc:cellImage>
    <xdr:pic>
      <xdr:nvPicPr>
        <xdr:cNvPr id="395" name="ID_BE9404A017D341A9AA4401B9B53A8DF7" descr="QQ截图20210215170556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2409825" y="113801525"/>
          <a:ext cx="1190625" cy="933450"/>
        </a:xfrm>
        <a:prstGeom prst="rect">
          <a:avLst/>
        </a:prstGeom>
      </xdr:spPr>
    </xdr:pic>
  </etc:cellImage>
  <etc:cellImage>
    <xdr:pic>
      <xdr:nvPicPr>
        <xdr:cNvPr id="365" name="ID_AAA3E5B5B8724613A0A3DA3E7D9119B6" descr="锥形桶"/>
        <xdr:cNvPicPr>
          <a:picLocks noChangeAspect="1"/>
        </xdr:cNvPicPr>
      </xdr:nvPicPr>
      <xdr:blipFill>
        <a:blip r:embed="rId125" cstate="print"/>
        <a:stretch>
          <a:fillRect/>
        </a:stretch>
      </xdr:blipFill>
      <xdr:spPr>
        <a:xfrm>
          <a:off x="2495550" y="115783360"/>
          <a:ext cx="1104900" cy="857250"/>
        </a:xfrm>
        <a:prstGeom prst="rect">
          <a:avLst/>
        </a:prstGeom>
      </xdr:spPr>
    </xdr:pic>
  </etc:cellImage>
  <etc:cellImage>
    <xdr:pic>
      <xdr:nvPicPr>
        <xdr:cNvPr id="370" name="ID_56D3A9B401904528A82C8D0260DE3C49" descr="消毒车"/>
        <xdr:cNvPicPr>
          <a:picLocks noChangeAspect="1"/>
        </xdr:cNvPicPr>
      </xdr:nvPicPr>
      <xdr:blipFill>
        <a:blip r:embed="rId126" cstate="print"/>
        <a:stretch>
          <a:fillRect/>
        </a:stretch>
      </xdr:blipFill>
      <xdr:spPr>
        <a:xfrm>
          <a:off x="2494915" y="116687600"/>
          <a:ext cx="953135" cy="1171575"/>
        </a:xfrm>
        <a:prstGeom prst="rect">
          <a:avLst/>
        </a:prstGeom>
      </xdr:spPr>
    </xdr:pic>
  </etc:cellImage>
  <etc:cellImage>
    <xdr:pic>
      <xdr:nvPicPr>
        <xdr:cNvPr id="387" name="ID_079FA1969C2D4363BB8E3CDB8BC42396" descr="QQ截图20210215165807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2505075" y="118052215"/>
          <a:ext cx="1095375" cy="848360"/>
        </a:xfrm>
        <a:prstGeom prst="rect">
          <a:avLst/>
        </a:prstGeom>
      </xdr:spPr>
    </xdr:pic>
  </etc:cellImage>
  <etc:cellImage>
    <xdr:pic>
      <xdr:nvPicPr>
        <xdr:cNvPr id="379" name="ID_3F8734826EDC4370902C8D7234062353" descr="田字格"/>
        <xdr:cNvPicPr>
          <a:picLocks noChangeAspect="1"/>
        </xdr:cNvPicPr>
      </xdr:nvPicPr>
      <xdr:blipFill>
        <a:blip r:embed="rId128" cstate="print"/>
        <a:stretch>
          <a:fillRect/>
        </a:stretch>
      </xdr:blipFill>
      <xdr:spPr>
        <a:xfrm>
          <a:off x="2483485" y="119021860"/>
          <a:ext cx="934720" cy="776605"/>
        </a:xfrm>
        <a:prstGeom prst="rect">
          <a:avLst/>
        </a:prstGeom>
      </xdr:spPr>
    </xdr:pic>
  </etc:cellImage>
  <etc:cellImage>
    <xdr:pic>
      <xdr:nvPicPr>
        <xdr:cNvPr id="1924" name="ID_25B559B20EDB46A1BC1616F9419CC4E0" descr="QQ截图20210215165822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2231390" y="293217600"/>
          <a:ext cx="1046480" cy="858520"/>
        </a:xfrm>
        <a:prstGeom prst="rect">
          <a:avLst/>
        </a:prstGeom>
      </xdr:spPr>
    </xdr:pic>
  </etc:cellImage>
  <etc:cellImage>
    <xdr:pic>
      <xdr:nvPicPr>
        <xdr:cNvPr id="1925" name="ID_077B0075EAFB4D9FBD06B0D9BBE5DD35" descr="QQ截图20210215165834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2150110" y="294161845"/>
          <a:ext cx="1143635" cy="857250"/>
        </a:xfrm>
        <a:prstGeom prst="rect">
          <a:avLst/>
        </a:prstGeom>
      </xdr:spPr>
    </xdr:pic>
  </etc:cellImage>
  <etc:cellImage>
    <xdr:pic>
      <xdr:nvPicPr>
        <xdr:cNvPr id="1926" name="ID_FB15C2D810BE4CBEB63EE2DA4B922EA2" descr="QQ截图20210215165851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2214880" y="295127680"/>
          <a:ext cx="1084580" cy="835660"/>
        </a:xfrm>
        <a:prstGeom prst="rect">
          <a:avLst/>
        </a:prstGeom>
      </xdr:spPr>
    </xdr:pic>
  </etc:cellImage>
  <etc:cellImage>
    <xdr:pic>
      <xdr:nvPicPr>
        <xdr:cNvPr id="1930" name="ID_54F8ADCAC23448AA88AACB7B95B3135D" descr="QQ截图20210215170539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2179320" y="296095420"/>
          <a:ext cx="971550" cy="800100"/>
        </a:xfrm>
        <a:prstGeom prst="rect">
          <a:avLst/>
        </a:prstGeom>
      </xdr:spPr>
    </xdr:pic>
  </etc:cellImage>
  <etc:cellImage>
    <xdr:pic>
      <xdr:nvPicPr>
        <xdr:cNvPr id="1940" name="ID_B08E024290F14C0193A3BF44A949C799" descr="0e9f90d5b5dc21391946a422ddbe169"/>
        <xdr:cNvPicPr/>
      </xdr:nvPicPr>
      <xdr:blipFill>
        <a:blip r:embed="rId133"/>
        <a:stretch>
          <a:fillRect/>
        </a:stretch>
      </xdr:blipFill>
      <xdr:spPr>
        <a:xfrm>
          <a:off x="2276475" y="298918630"/>
          <a:ext cx="1127760" cy="528955"/>
        </a:xfrm>
        <a:prstGeom prst="rect">
          <a:avLst/>
        </a:prstGeom>
      </xdr:spPr>
    </xdr:pic>
  </etc:cellImage>
  <etc:cellImage>
    <xdr:pic>
      <xdr:nvPicPr>
        <xdr:cNvPr id="1943" name="ID_34304925CE3B4BDAA3A85D258782C154" descr="d6f9773bc895d00d52743408a3cea83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2145665" y="301068105"/>
          <a:ext cx="1257935" cy="441960"/>
        </a:xfrm>
        <a:prstGeom prst="rect">
          <a:avLst/>
        </a:prstGeom>
      </xdr:spPr>
    </xdr:pic>
  </etc:cellImage>
  <etc:cellImage>
    <xdr:pic>
      <xdr:nvPicPr>
        <xdr:cNvPr id="1945" name="ID_C79658CC40D74A6F969837EC6653CBF2" descr="7c579c386df7e1217bc9b506695ea77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2167255" y="303496980"/>
          <a:ext cx="1127125" cy="528320"/>
        </a:xfrm>
        <a:prstGeom prst="rect">
          <a:avLst/>
        </a:prstGeom>
      </xdr:spPr>
    </xdr:pic>
  </etc:cellImage>
  <etc:cellImage>
    <xdr:pic>
      <xdr:nvPicPr>
        <xdr:cNvPr id="1948" name="ID_3777ABF8C42B4A5790F5C431E8113468" descr="c708a85ba7c79839a8808df09662fe5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2167255" y="308165500"/>
          <a:ext cx="1179195" cy="342900"/>
        </a:xfrm>
        <a:prstGeom prst="rect">
          <a:avLst/>
        </a:prstGeom>
      </xdr:spPr>
    </xdr:pic>
  </etc:cellImage>
  <etc:cellImage>
    <xdr:pic>
      <xdr:nvPicPr>
        <xdr:cNvPr id="14" name="ID_2ECC0094D70740A5B94259305F76B414" descr="T}S%J325$X83$70L~AJRSMS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2733675" y="132398135"/>
          <a:ext cx="524510" cy="538480"/>
        </a:xfrm>
        <a:prstGeom prst="rect">
          <a:avLst/>
        </a:prstGeom>
      </xdr:spPr>
    </xdr:pic>
  </etc:cellImage>
  <etc:cellImage>
    <xdr:pic>
      <xdr:nvPicPr>
        <xdr:cNvPr id="13" name="ID_FB6C16BFCCC74121B57D593AF11EA3CE" descr="16d304425413f84442ec15da026eb84"/>
        <xdr:cNvPicPr>
          <a:picLocks noChangeAspect="1"/>
        </xdr:cNvPicPr>
      </xdr:nvPicPr>
      <xdr:blipFill>
        <a:blip r:embed="rId138" cstate="print"/>
        <a:stretch>
          <a:fillRect/>
        </a:stretch>
      </xdr:blipFill>
      <xdr:spPr>
        <a:xfrm>
          <a:off x="2849245" y="130769360"/>
          <a:ext cx="535305" cy="367030"/>
        </a:xfrm>
        <a:prstGeom prst="rect">
          <a:avLst/>
        </a:prstGeom>
      </xdr:spPr>
    </xdr:pic>
  </etc:cellImage>
  <etc:cellImage>
    <xdr:pic>
      <xdr:nvPicPr>
        <xdr:cNvPr id="3" name="ID_A01750E6368D4A2EBD2FE79689CA9AE7" descr="1de959f7f668f8cfbd52c2a3b3ce6b3"/>
        <xdr:cNvPicPr>
          <a:picLocks noChangeAspect="1"/>
        </xdr:cNvPicPr>
      </xdr:nvPicPr>
      <xdr:blipFill>
        <a:blip r:embed="rId139" cstate="print"/>
        <a:stretch>
          <a:fillRect/>
        </a:stretch>
      </xdr:blipFill>
      <xdr:spPr>
        <a:xfrm>
          <a:off x="2553335" y="131572635"/>
          <a:ext cx="1218565" cy="805180"/>
        </a:xfrm>
        <a:prstGeom prst="rect">
          <a:avLst/>
        </a:prstGeom>
      </xdr:spPr>
    </xdr:pic>
  </etc:cellImage>
  <etc:cellImage>
    <xdr:pic>
      <xdr:nvPicPr>
        <xdr:cNvPr id="16" name="ID_959C6E81E74A44D0B8BDC7E77B281CB4" descr="539bcc1cf15c01aad95623b4fd4772b"/>
        <xdr:cNvPicPr>
          <a:picLocks noChangeAspect="1"/>
        </xdr:cNvPicPr>
      </xdr:nvPicPr>
      <xdr:blipFill>
        <a:blip r:embed="rId140" cstate="print"/>
        <a:stretch>
          <a:fillRect/>
        </a:stretch>
      </xdr:blipFill>
      <xdr:spPr>
        <a:xfrm rot="5400000" flipH="1">
          <a:off x="2814955" y="132339080"/>
          <a:ext cx="755015" cy="1158875"/>
        </a:xfrm>
        <a:prstGeom prst="rect">
          <a:avLst/>
        </a:prstGeom>
      </xdr:spPr>
    </xdr:pic>
  </etc:cellImage>
  <etc:cellImage>
    <xdr:pic>
      <xdr:nvPicPr>
        <xdr:cNvPr id="17" name="ID_C502403115F94EA0B80619A9C3CF5DF2" descr="dfe70368534285c76def87317d2d4b4"/>
        <xdr:cNvPicPr>
          <a:picLocks noChangeAspect="1"/>
        </xdr:cNvPicPr>
      </xdr:nvPicPr>
      <xdr:blipFill>
        <a:blip r:embed="rId141" cstate="print"/>
        <a:stretch>
          <a:fillRect/>
        </a:stretch>
      </xdr:blipFill>
      <xdr:spPr>
        <a:xfrm rot="5400000">
          <a:off x="2803525" y="133339840"/>
          <a:ext cx="840740" cy="1096010"/>
        </a:xfrm>
        <a:prstGeom prst="rect">
          <a:avLst/>
        </a:prstGeom>
      </xdr:spPr>
    </xdr:pic>
  </etc:cellImage>
  <etc:cellImage>
    <xdr:pic>
      <xdr:nvPicPr>
        <xdr:cNvPr id="18" name="ID_D83098DE6E4145F49F3325DB9E74374B" descr="62b0ac2dd6083173ba39836468091e7"/>
        <xdr:cNvPicPr>
          <a:picLocks noChangeAspect="1"/>
        </xdr:cNvPicPr>
      </xdr:nvPicPr>
      <xdr:blipFill>
        <a:blip r:embed="rId142" cstate="print"/>
        <a:stretch>
          <a:fillRect/>
        </a:stretch>
      </xdr:blipFill>
      <xdr:spPr>
        <a:xfrm flipH="1">
          <a:off x="2625090" y="134392670"/>
          <a:ext cx="1146810" cy="822325"/>
        </a:xfrm>
        <a:prstGeom prst="rect">
          <a:avLst/>
        </a:prstGeom>
      </xdr:spPr>
    </xdr:pic>
  </etc:cellImage>
  <etc:cellImage>
    <xdr:pic>
      <xdr:nvPicPr>
        <xdr:cNvPr id="19" name="ID_9C7E81BD57054CFCB97598EB55E48915" descr="83c93e6ca5a8db67fed8e660146b39b"/>
        <xdr:cNvPicPr>
          <a:picLocks noChangeAspect="1"/>
        </xdr:cNvPicPr>
      </xdr:nvPicPr>
      <xdr:blipFill>
        <a:blip r:embed="rId143" cstate="print"/>
        <a:stretch>
          <a:fillRect/>
        </a:stretch>
      </xdr:blipFill>
      <xdr:spPr>
        <a:xfrm>
          <a:off x="2619375" y="135370570"/>
          <a:ext cx="995680" cy="836295"/>
        </a:xfrm>
        <a:prstGeom prst="rect">
          <a:avLst/>
        </a:prstGeom>
      </xdr:spPr>
    </xdr:pic>
  </etc:cellImage>
  <etc:cellImage>
    <xdr:pic>
      <xdr:nvPicPr>
        <xdr:cNvPr id="21" name="ID_3094F598B6754574ABD37A44350B3EBF" descr="d8a1cf663397a09b527c02287d2db8b"/>
        <xdr:cNvPicPr>
          <a:picLocks noChangeAspect="1"/>
        </xdr:cNvPicPr>
      </xdr:nvPicPr>
      <xdr:blipFill>
        <a:blip r:embed="rId144" cstate="print"/>
        <a:stretch>
          <a:fillRect/>
        </a:stretch>
      </xdr:blipFill>
      <xdr:spPr>
        <a:xfrm>
          <a:off x="2698750" y="137303510"/>
          <a:ext cx="937260" cy="796290"/>
        </a:xfrm>
        <a:prstGeom prst="rect">
          <a:avLst/>
        </a:prstGeom>
      </xdr:spPr>
    </xdr:pic>
  </etc:cellImage>
  <etc:cellImage>
    <xdr:pic>
      <xdr:nvPicPr>
        <xdr:cNvPr id="22" name="ID_6FA0F899412B44669C639D1D8B8C4216" descr="521f6fdcb92584adad90c8a66d05777"/>
        <xdr:cNvPicPr>
          <a:picLocks noChangeAspect="1"/>
        </xdr:cNvPicPr>
      </xdr:nvPicPr>
      <xdr:blipFill>
        <a:blip r:embed="rId145" cstate="print"/>
        <a:stretch>
          <a:fillRect/>
        </a:stretch>
      </xdr:blipFill>
      <xdr:spPr>
        <a:xfrm>
          <a:off x="2495550" y="138217910"/>
          <a:ext cx="1061085" cy="834390"/>
        </a:xfrm>
        <a:prstGeom prst="rect">
          <a:avLst/>
        </a:prstGeom>
      </xdr:spPr>
    </xdr:pic>
  </etc:cellImage>
  <etc:cellImage>
    <xdr:pic>
      <xdr:nvPicPr>
        <xdr:cNvPr id="23" name="ID_6A79DEE55CD648B7BF7DD66209119F95" descr="a8347a9756365e096cbb6bd165b3e89"/>
        <xdr:cNvPicPr>
          <a:picLocks noChangeAspect="1"/>
        </xdr:cNvPicPr>
      </xdr:nvPicPr>
      <xdr:blipFill>
        <a:blip r:embed="rId146" cstate="print"/>
        <a:stretch>
          <a:fillRect/>
        </a:stretch>
      </xdr:blipFill>
      <xdr:spPr>
        <a:xfrm>
          <a:off x="2466975" y="139131040"/>
          <a:ext cx="1121410" cy="873125"/>
        </a:xfrm>
        <a:prstGeom prst="rect">
          <a:avLst/>
        </a:prstGeom>
      </xdr:spPr>
    </xdr:pic>
  </etc:cellImage>
  <etc:cellImage>
    <xdr:pic>
      <xdr:nvPicPr>
        <xdr:cNvPr id="31" name="ID_D88695C388B24115B6AA6982B754034A" descr="fd48d783f402e95de0b9f104af4d26f"/>
        <xdr:cNvPicPr>
          <a:picLocks noChangeAspect="1"/>
        </xdr:cNvPicPr>
      </xdr:nvPicPr>
      <xdr:blipFill>
        <a:blip r:embed="rId147" cstate="print"/>
        <a:stretch>
          <a:fillRect/>
        </a:stretch>
      </xdr:blipFill>
      <xdr:spPr>
        <a:xfrm>
          <a:off x="2543175" y="140102590"/>
          <a:ext cx="1046480" cy="900430"/>
        </a:xfrm>
        <a:prstGeom prst="rect">
          <a:avLst/>
        </a:prstGeom>
      </xdr:spPr>
    </xdr:pic>
  </etc:cellImage>
  <etc:cellImage>
    <xdr:pic>
      <xdr:nvPicPr>
        <xdr:cNvPr id="24" name="ID_D04D1A92286143E6A157630AD44D9F62" descr="89049cb983871f55f4d7720bc6d2407"/>
        <xdr:cNvPicPr>
          <a:picLocks noChangeAspect="1"/>
        </xdr:cNvPicPr>
      </xdr:nvPicPr>
      <xdr:blipFill>
        <a:blip r:embed="rId148" cstate="print"/>
        <a:stretch>
          <a:fillRect/>
        </a:stretch>
      </xdr:blipFill>
      <xdr:spPr>
        <a:xfrm>
          <a:off x="2600325" y="141036675"/>
          <a:ext cx="956310" cy="894080"/>
        </a:xfrm>
        <a:prstGeom prst="rect">
          <a:avLst/>
        </a:prstGeom>
      </xdr:spPr>
    </xdr:pic>
  </etc:cellImage>
  <etc:cellImage>
    <xdr:pic>
      <xdr:nvPicPr>
        <xdr:cNvPr id="25" name="ID_1B0C991B7C474375B1A805CB1209D054" descr="15d3f7243186292dedc94a5a7052696"/>
        <xdr:cNvPicPr>
          <a:picLocks noChangeAspect="1"/>
        </xdr:cNvPicPr>
      </xdr:nvPicPr>
      <xdr:blipFill>
        <a:blip r:embed="rId149" cstate="print"/>
        <a:stretch>
          <a:fillRect/>
        </a:stretch>
      </xdr:blipFill>
      <xdr:spPr>
        <a:xfrm rot="16200000">
          <a:off x="2625725" y="141945995"/>
          <a:ext cx="879475" cy="967105"/>
        </a:xfrm>
        <a:prstGeom prst="rect">
          <a:avLst/>
        </a:prstGeom>
      </xdr:spPr>
    </xdr:pic>
  </etc:cellImage>
  <etc:cellImage>
    <xdr:pic>
      <xdr:nvPicPr>
        <xdr:cNvPr id="27" name="ID_D6158653044B4B89B339C1D0A50F8A95" descr="7b9bc52c4f257da8a4381052f0c9861"/>
        <xdr:cNvPicPr>
          <a:picLocks noChangeAspect="1"/>
        </xdr:cNvPicPr>
      </xdr:nvPicPr>
      <xdr:blipFill>
        <a:blip r:embed="rId150" cstate="print"/>
        <a:stretch>
          <a:fillRect/>
        </a:stretch>
      </xdr:blipFill>
      <xdr:spPr>
        <a:xfrm>
          <a:off x="2486660" y="143893540"/>
          <a:ext cx="1081405" cy="910590"/>
        </a:xfrm>
        <a:prstGeom prst="rect">
          <a:avLst/>
        </a:prstGeom>
      </xdr:spPr>
    </xdr:pic>
  </etc:cellImage>
  <etc:cellImage>
    <xdr:pic>
      <xdr:nvPicPr>
        <xdr:cNvPr id="28" name="ID_C3BD42EBBE1248B3BF24AB0B6B42070A" descr="42992ff52bbae7d95d271801da04300"/>
        <xdr:cNvPicPr>
          <a:picLocks noChangeAspect="1"/>
        </xdr:cNvPicPr>
      </xdr:nvPicPr>
      <xdr:blipFill>
        <a:blip r:embed="rId151" cstate="print"/>
        <a:stretch>
          <a:fillRect/>
        </a:stretch>
      </xdr:blipFill>
      <xdr:spPr>
        <a:xfrm rot="16200000">
          <a:off x="2495550" y="144779365"/>
          <a:ext cx="918210" cy="1032510"/>
        </a:xfrm>
        <a:prstGeom prst="rect">
          <a:avLst/>
        </a:prstGeom>
      </xdr:spPr>
    </xdr:pic>
  </etc:cellImage>
  <etc:cellImage>
    <xdr:pic>
      <xdr:nvPicPr>
        <xdr:cNvPr id="29" name="ID_4B7AD8ABCB4743EBB4C88ED457244B38" descr="204528b28d70a1211a1409347a2e3f4"/>
        <xdr:cNvPicPr>
          <a:picLocks noChangeAspect="1"/>
        </xdr:cNvPicPr>
      </xdr:nvPicPr>
      <xdr:blipFill>
        <a:blip r:embed="rId152" cstate="print"/>
        <a:stretch>
          <a:fillRect/>
        </a:stretch>
      </xdr:blipFill>
      <xdr:spPr>
        <a:xfrm>
          <a:off x="2459355" y="145827115"/>
          <a:ext cx="1050925" cy="862330"/>
        </a:xfrm>
        <a:prstGeom prst="rect">
          <a:avLst/>
        </a:prstGeom>
      </xdr:spPr>
    </xdr:pic>
  </etc:cellImage>
  <etc:cellImage>
    <xdr:pic>
      <xdr:nvPicPr>
        <xdr:cNvPr id="32" name="ID_BC5644AB0BE94DA8B9687D46B1E48DA0" descr="d76852570cfbf602348c332dbc26b8d"/>
        <xdr:cNvPicPr>
          <a:picLocks noChangeAspect="1"/>
        </xdr:cNvPicPr>
      </xdr:nvPicPr>
      <xdr:blipFill>
        <a:blip r:embed="rId120" cstate="print"/>
        <a:stretch>
          <a:fillRect/>
        </a:stretch>
      </xdr:blipFill>
      <xdr:spPr>
        <a:xfrm rot="5400000">
          <a:off x="2673350" y="147659725"/>
          <a:ext cx="722630" cy="971550"/>
        </a:xfrm>
        <a:prstGeom prst="rect">
          <a:avLst/>
        </a:prstGeom>
      </xdr:spPr>
    </xdr:pic>
  </etc:cellImage>
  <etc:cellImage>
    <xdr:pic>
      <xdr:nvPicPr>
        <xdr:cNvPr id="37" name="ID_1666973EB9FD4E88B52A47FBEA525717" descr="kt板子"/>
        <xdr:cNvPicPr>
          <a:picLocks noChangeAspect="1"/>
        </xdr:cNvPicPr>
      </xdr:nvPicPr>
      <xdr:blipFill>
        <a:blip r:embed="rId153"/>
        <a:srcRect r="29240"/>
        <a:stretch>
          <a:fillRect/>
        </a:stretch>
      </xdr:blipFill>
      <xdr:spPr>
        <a:xfrm>
          <a:off x="2495550" y="149612985"/>
          <a:ext cx="1181100" cy="862330"/>
        </a:xfrm>
        <a:prstGeom prst="rect">
          <a:avLst/>
        </a:prstGeom>
      </xdr:spPr>
    </xdr:pic>
  </etc:cellImage>
  <etc:cellImage>
    <xdr:pic>
      <xdr:nvPicPr>
        <xdr:cNvPr id="36" name="ID_0363B169B7944B9C86FEF06C257418CD" descr="kt板图片"/>
        <xdr:cNvPicPr>
          <a:picLocks noChangeAspect="1"/>
        </xdr:cNvPicPr>
      </xdr:nvPicPr>
      <xdr:blipFill>
        <a:blip r:embed="rId154"/>
        <a:srcRect l="-724" t="28446" r="724" b="5470"/>
        <a:stretch>
          <a:fillRect/>
        </a:stretch>
      </xdr:blipFill>
      <xdr:spPr>
        <a:xfrm>
          <a:off x="2476500" y="150654385"/>
          <a:ext cx="1315085" cy="727075"/>
        </a:xfrm>
        <a:prstGeom prst="rect">
          <a:avLst/>
        </a:prstGeom>
      </xdr:spPr>
    </xdr:pic>
  </etc:cellImage>
  <etc:cellImage>
    <xdr:pic>
      <xdr:nvPicPr>
        <xdr:cNvPr id="38" name="ID_1AAD4FB4691E4CE88FDA4B15BE42B7EB" descr="kt板图片"/>
        <xdr:cNvPicPr>
          <a:picLocks noChangeAspect="1"/>
        </xdr:cNvPicPr>
      </xdr:nvPicPr>
      <xdr:blipFill>
        <a:blip r:embed="rId154"/>
        <a:srcRect l="-724" t="28446" r="724" b="5470"/>
        <a:stretch>
          <a:fillRect/>
        </a:stretch>
      </xdr:blipFill>
      <xdr:spPr>
        <a:xfrm>
          <a:off x="2438400" y="151532590"/>
          <a:ext cx="1315085" cy="727075"/>
        </a:xfrm>
        <a:prstGeom prst="rect">
          <a:avLst/>
        </a:prstGeom>
      </xdr:spPr>
    </xdr:pic>
  </etc:cellImage>
  <etc:cellImage>
    <xdr:pic>
      <xdr:nvPicPr>
        <xdr:cNvPr id="40" name="ID_8AA60F0D6D854308842A01EFEF86688D" descr="QQ截图20200614150044"/>
        <xdr:cNvPicPr>
          <a:picLocks noChangeAspect="1"/>
        </xdr:cNvPicPr>
      </xdr:nvPicPr>
      <xdr:blipFill>
        <a:blip r:embed="rId155" cstate="print"/>
        <a:stretch>
          <a:fillRect/>
        </a:stretch>
      </xdr:blipFill>
      <xdr:spPr>
        <a:xfrm>
          <a:off x="2514600" y="153418540"/>
          <a:ext cx="1262380" cy="905510"/>
        </a:xfrm>
        <a:prstGeom prst="rect">
          <a:avLst/>
        </a:prstGeom>
      </xdr:spPr>
    </xdr:pic>
  </etc:cellImage>
  <etc:cellImage>
    <xdr:pic>
      <xdr:nvPicPr>
        <xdr:cNvPr id="41" name="ID_6B87958DE4334558854899F968F7D644" descr="QQ截图20200614150058"/>
        <xdr:cNvPicPr>
          <a:picLocks noChangeAspect="1"/>
        </xdr:cNvPicPr>
      </xdr:nvPicPr>
      <xdr:blipFill>
        <a:blip r:embed="rId156" cstate="print"/>
        <a:stretch>
          <a:fillRect/>
        </a:stretch>
      </xdr:blipFill>
      <xdr:spPr>
        <a:xfrm>
          <a:off x="2486025" y="154411680"/>
          <a:ext cx="1209040" cy="77914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<sst xmlns="http://schemas.openxmlformats.org/spreadsheetml/2006/main" count="836" uniqueCount="518">
  <si>
    <r>
      <rPr>
        <b/>
        <sz val="16"/>
        <color rgb="FFFF0000"/>
        <rFont val="楷体"/>
        <charset val="134"/>
      </rPr>
      <t>拜城县大桥乡学校（幼儿园）</t>
    </r>
    <r>
      <rPr>
        <b/>
        <sz val="16"/>
        <color theme="1"/>
        <rFont val="楷体"/>
        <charset val="134"/>
      </rPr>
      <t>2022年下半年办公用品在线询价单</t>
    </r>
  </si>
  <si>
    <t>序号</t>
  </si>
  <si>
    <t>商品名称</t>
  </si>
  <si>
    <t>品牌参考范围</t>
  </si>
  <si>
    <t>产品图片</t>
  </si>
  <si>
    <t>型号、规格及参数</t>
  </si>
  <si>
    <t>物品类别</t>
  </si>
  <si>
    <t>单位</t>
  </si>
  <si>
    <t>单价</t>
  </si>
  <si>
    <t>大桥学校名称</t>
  </si>
  <si>
    <t>数量</t>
  </si>
  <si>
    <t>金额</t>
  </si>
  <si>
    <t>中性笔</t>
  </si>
  <si>
    <t>浙江听雨轩/G-755
0.5mm木纹笔杆、凌派原生态中性笔、12支/盒、书写流畅</t>
  </si>
  <si>
    <t>0.5mm木纹笔杆、凌派原生态中性笔、12支/盒、书写流畅</t>
  </si>
  <si>
    <t>教学用品</t>
  </si>
  <si>
    <t>盒</t>
  </si>
  <si>
    <t>笔芯</t>
  </si>
  <si>
    <t>浙江得力/S760
子弹头通用笔芯、0.5mm、20支/盒、选色（黑、红、蓝）</t>
  </si>
  <si>
    <t>子弹头通用笔芯、0.5mm、20支/盒</t>
  </si>
  <si>
    <t>橡皮</t>
  </si>
  <si>
    <t>浙江得力/7532
2B/7532、考试专用、不适合三岁以下儿童使用</t>
  </si>
  <si>
    <t>2B、考试专用、不适合三岁以下儿童使用</t>
  </si>
  <si>
    <t>块</t>
  </si>
  <si>
    <t>过塑机</t>
  </si>
  <si>
    <t>浙江得力/3894
A3、20张/分钟/3894、快速预热、低噪音、温控可调、过塑平整、多孔散热、360*145*90mm</t>
  </si>
  <si>
    <t>A3、20张/分钟快速预热、低噪音、温控可调、过塑平整、多孔散热、360*145*90mm</t>
  </si>
  <si>
    <t>办公用品</t>
  </si>
  <si>
    <t>台</t>
  </si>
  <si>
    <t>手摇转笔刀</t>
  </si>
  <si>
    <t>浙江格致开心/722B
55*46*92mm、粉色/蓝色可选、适合多种笔芯、防滑底座、安全平稳</t>
  </si>
  <si>
    <t>55*46*92mm、粉色/蓝色可选、适合多种笔芯、防滑底座、安全平稳</t>
  </si>
  <si>
    <t>个</t>
  </si>
  <si>
    <t>水彩笔</t>
  </si>
  <si>
    <t>温州大可/印章水彩笔D1223-24/可水洗水彩笔、24色/盒、三角杆、笔杆长127mm</t>
  </si>
  <si>
    <t>可水洗水彩笔、24色/盒、三角杆、笔杆长127mm</t>
  </si>
  <si>
    <t>文具盒</t>
  </si>
  <si>
    <t>浙江卡通/B-588
卡通金属双层文具盒、马口铁材质、防水防锈、24*10*3.5cm</t>
  </si>
  <si>
    <t>卡通金属双层文具盒、马口铁材质、防水防锈、24*10*3.5cm</t>
  </si>
  <si>
    <t>DVD光盘</t>
  </si>
  <si>
    <t>浙江香蕉/DVD-R-16X
50张/筒、4.7G容量、直径12cm、读写速度16X、DVD格式</t>
  </si>
  <si>
    <t>50张/筒、4.7G容量、直径12cm、读写速度16X、DVD格式</t>
  </si>
  <si>
    <t>筒</t>
  </si>
  <si>
    <t>塑料档案盒</t>
  </si>
  <si>
    <t>河北晶森/5602
35mm、237*318*35mm、厚度0.85、6503/蓝色</t>
  </si>
  <si>
    <t>35mm、237*318*35mm、厚度0.85、蓝色</t>
  </si>
  <si>
    <t>河北晶森/5603
55mm、237*318*55mm、厚度0.85、6505/蓝色</t>
  </si>
  <si>
    <t>55mm、237*318*55mm、厚度0.85、蓝色</t>
  </si>
  <si>
    <t>塑封膜</t>
  </si>
  <si>
    <t>宜兴市金峰/A4
A4、220*307mm、厚度、7丝100套/包</t>
  </si>
  <si>
    <t>A4、220*307mm、厚度、7丝100套/包</t>
  </si>
  <si>
    <t>包</t>
  </si>
  <si>
    <t>宜兴市金峰/A3
A3/6936、307*430mm、7丝100套/包</t>
  </si>
  <si>
    <t>A3/6936、307*430mm、7丝100套/包</t>
  </si>
  <si>
    <t>抽杆夹</t>
  </si>
  <si>
    <t>河北晶森5814/
A4、材质厚度0.14mm、背宽10mm</t>
  </si>
  <si>
    <t>A4、材质厚度0.14mm、背宽10mm</t>
  </si>
  <si>
    <t>河北晶森5815/
A4、材质厚度0.18mm、背宽15mm</t>
  </si>
  <si>
    <t>A4、材质厚度0.18mm、背宽15mm</t>
  </si>
  <si>
    <t>河北晶森5825/
A4、材质厚度0.38mm、背宽25mm</t>
  </si>
  <si>
    <t>A4、材质厚度0.38mm、背宽25mm</t>
  </si>
  <si>
    <t>长尾夹</t>
  </si>
  <si>
    <t>上海上汇/0053
32mm/0053、24只/筒</t>
  </si>
  <si>
    <t>32mm、24只/筒</t>
  </si>
  <si>
    <t>上海上汇/0054
25mm/0054、48只筒</t>
  </si>
  <si>
    <t>25mm、48只筒</t>
  </si>
  <si>
    <t>上海上汇/0056
15mm/0056、60只/筒</t>
  </si>
  <si>
    <t>15mm、60只/筒</t>
  </si>
  <si>
    <t>银色回形针</t>
  </si>
  <si>
    <t>上海上汇/1037
3#、200枚/筒、镀镍银色</t>
  </si>
  <si>
    <t>3#、200枚/筒、镀镍银色</t>
  </si>
  <si>
    <t>大头针</t>
  </si>
  <si>
    <t>上海上汇/1039
3#、100g、镀镍银色</t>
  </si>
  <si>
    <t>3#、100g、镀镍银色</t>
  </si>
  <si>
    <t>订书针</t>
  </si>
  <si>
    <t>上海上汇/1013
23/13、1000枚/盒、1/10/200、厚层订书钉</t>
  </si>
  <si>
    <t>23/13、1000枚/盒、1/10/200、厚层订书钉</t>
  </si>
  <si>
    <t>上海上汇/1017
23/17、1000枚、1/5/100、厚层订书钉</t>
  </si>
  <si>
    <t>23/17、1000枚、1/5/100、厚层订书钉</t>
  </si>
  <si>
    <t>旋转订书机</t>
  </si>
  <si>
    <t>上海上汇/1414
24/6、可订厚度1-25页、可旋转</t>
  </si>
  <si>
    <t>24/6、可订厚度1-25页、可旋转</t>
  </si>
  <si>
    <t>重型订书机</t>
  </si>
  <si>
    <t>上海上汇/1340
23/6-23/13、装订厚度100页/80g</t>
  </si>
  <si>
    <t>23/6-23/13、装订厚度100页/80g</t>
  </si>
  <si>
    <t>计算器</t>
  </si>
  <si>
    <t>上海上汇/1847
12位、亚克力按键/语音型/日期/报数功能/193*156*41mm</t>
  </si>
  <si>
    <t>12位、亚克力按键/语音型/日期/报数功能/193*156*41mm</t>
  </si>
  <si>
    <t>快干印台</t>
  </si>
  <si>
    <t>上海上汇/1204
138*89红色、长方形、包装规格1/12/144</t>
  </si>
  <si>
    <t>138*89红色、长方形、包装规格1/12/144</t>
  </si>
  <si>
    <t>快干印油</t>
  </si>
  <si>
    <t>上海上汇/9874
40ml、包装规格1/12/144/红蓝两色</t>
  </si>
  <si>
    <t>40ml、包装规格1/12/144/红蓝两色</t>
  </si>
  <si>
    <t>液体胶水</t>
  </si>
  <si>
    <t>上海上汇/7302
50ml、粘性强、包装规格1/24/360</t>
  </si>
  <si>
    <t>50ml、粘性强、包装规格1/24/360</t>
  </si>
  <si>
    <t>瓶</t>
  </si>
  <si>
    <t>固体胶</t>
  </si>
  <si>
    <t>上海上汇/7107
21g、超强粘性/7107、包装规格1/12/384.</t>
  </si>
  <si>
    <t>21g、超强粘性/7107、包装规格1/12/384.</t>
  </si>
  <si>
    <t>支</t>
  </si>
  <si>
    <t>海绵泡沫胶</t>
  </si>
  <si>
    <t>浙江得力/30411
得力30411EVA泡棉双面胶带18mm*5y*2.5mm(白)(1卷/袋)</t>
  </si>
  <si>
    <t>2.5mm*18mm*5Y、独立包装</t>
  </si>
  <si>
    <t>卷</t>
  </si>
  <si>
    <t>宽胶带</t>
  </si>
  <si>
    <t>上海上汇/7265
厚度50um、规格60mm*100y、6卷/筒</t>
  </si>
  <si>
    <t>厚度50um、规格60mm*100y、6卷/筒</t>
  </si>
  <si>
    <t>白板擦</t>
  </si>
  <si>
    <t>上海上汇/3349
省力、设计轻巧、120*50*30mm、包装规格1/288/磁性白板擦</t>
  </si>
  <si>
    <t>省力、设计轻巧、120*50*30mm、包装规格1/288</t>
  </si>
  <si>
    <t>口取纸</t>
  </si>
  <si>
    <t>上海上汇/7888
自粘性标签纸、10张/包、200*120mm</t>
  </si>
  <si>
    <t>自粘性标签纸、10张/包、200*120mm</t>
  </si>
  <si>
    <t>软皮本</t>
  </si>
  <si>
    <t>武汉莱特/32-100
A5/32k-100、45页、200*140mm</t>
  </si>
  <si>
    <t>A5/32k-100、45页、200*140mm</t>
  </si>
  <si>
    <t>本</t>
  </si>
  <si>
    <t>荣誉证书</t>
  </si>
  <si>
    <t>上海上汇/2966
8K/、绒面252*175mm、包装规格1/70</t>
  </si>
  <si>
    <t>8K/、绒面252*175mm、包装规格1/70</t>
  </si>
  <si>
    <t>丙烯颜料</t>
  </si>
  <si>
    <t>河北青竹/500ml
美丽乡村系列、500ml、专业内外墙丙烯颜料、30色可选</t>
  </si>
  <si>
    <t>美丽乡村系列、500ml、专业内外墙丙烯颜料、30色可选</t>
  </si>
  <si>
    <t>美术用品</t>
  </si>
  <si>
    <t>丙烯调和液</t>
  </si>
  <si>
    <t>浙江罗塞蒂/500ml
500ml、稀释丙烯、奶液状、干后清晰透明、增加颜料流动性、艺术创作专用</t>
  </si>
  <si>
    <t>500ml、稀释丙烯、奶液状、干后清晰透明、增加颜料流动性、艺术创作专用</t>
  </si>
  <si>
    <t>排笔</t>
  </si>
  <si>
    <t>浙江樱花/820
6支/套、尼龙材质、专业丙烯/水粉画笔</t>
  </si>
  <si>
    <t>6支/套、尼龙材质、专业丙烯/水粉画笔</t>
  </si>
  <si>
    <t>套</t>
  </si>
  <si>
    <t>复印纸</t>
  </si>
  <si>
    <t>四川永丰纸业/白木/A3
A3、297mm*420mm、70g、500张/包、4包/件/木浆复印纸</t>
  </si>
  <si>
    <t>A3、297mm*420mm、70g、500张/包、4包/件/木浆复印纸</t>
  </si>
  <si>
    <t>件</t>
  </si>
  <si>
    <t>四川永丰纸业/白木/A4
A4、297mm*210mm、70g、500张/包、8包/件/木浆复印纸</t>
  </si>
  <si>
    <t>A4、297mm*210mm、70g、500张/包、8包/件/木浆复印纸</t>
  </si>
  <si>
    <t>四川永丰纸业/丰逸/8K
8K、271*390mm、70g、500张/包、4包/件/竹浆复印纸</t>
  </si>
  <si>
    <t>8K、271*390mm、70g、500张/包、4包/件/竹浆复印纸</t>
  </si>
  <si>
    <t>彩色复印纸</t>
  </si>
  <si>
    <t>浙江利百慧/A4
A4、297*210mm 70g 100张/包、彩色复印纸</t>
  </si>
  <si>
    <t>A4、297*210mm 70g 100张/包、彩色复印纸</t>
  </si>
  <si>
    <t>浙江利百慧/A3
A3/420*297mm  70g 100张/包、彩色复印纸</t>
  </si>
  <si>
    <t>A3/420*297mm  70g 100张/包、彩色复印纸</t>
  </si>
  <si>
    <t>奖状纸</t>
  </si>
  <si>
    <t>浙江奥斯特/A4
A4、210*297mm、70g、纯木浆专用纸、100张/包</t>
  </si>
  <si>
    <t>A4、210*297mm、70g、纯木浆专用纸、100张/包</t>
  </si>
  <si>
    <t>张</t>
  </si>
  <si>
    <t>党徽</t>
  </si>
  <si>
    <t>河北星光/
新款别针、国标（圆形）、锌合金材质、22.5*24*2.5mm</t>
  </si>
  <si>
    <t>新款别针、国标（圆形）、锌合金材质、22.5*24*2.5mm</t>
  </si>
  <si>
    <t>团徽</t>
  </si>
  <si>
    <t>河北星光/
国标（圆形）、锌合金材质、25*20*1.5mm</t>
  </si>
  <si>
    <t>国标（圆形）、锌合金材质、25*20*1.5mm</t>
  </si>
  <si>
    <t>党旗</t>
  </si>
  <si>
    <t>河北星光/
3号 128*192cm、春亚纺布料、精致车线、完美包边</t>
  </si>
  <si>
    <t>3号 128*192cm、春亚纺布料、精致车线、完美包边</t>
  </si>
  <si>
    <t>面</t>
  </si>
  <si>
    <t>国旗</t>
  </si>
  <si>
    <t>河北星光/
2号 160*240cm、春亚纺布料、精致车线、完美包边</t>
  </si>
  <si>
    <t>2号 160*240cm、春亚纺布料、精致车线、完美包边</t>
  </si>
  <si>
    <t>红领巾</t>
  </si>
  <si>
    <t>河北星光/
学生用、标准、等腰三角形、棉、60*60*100cm、春亚纺布料、精致车线、完美包边</t>
  </si>
  <si>
    <t>学生用、标准、等腰三角形、棉、60*60*100cm、春亚纺布料、精致车线、完美包边</t>
  </si>
  <si>
    <t>条</t>
  </si>
  <si>
    <t>三角串彩旗</t>
  </si>
  <si>
    <t>河北星光/
10条/包、春亚纺布料、精致车线、完美包边、20*30cm</t>
  </si>
  <si>
    <t>10条/包、春亚纺布料、精致车线、完美包边、20*30cm</t>
  </si>
  <si>
    <t>白色粉笔</t>
  </si>
  <si>
    <t>文峰/白色
100盒/箱、国标、无尘、白色、10*78mm</t>
  </si>
  <si>
    <t>100盒/箱、国标、无尘、白色、10*78mm</t>
  </si>
  <si>
    <t>箱</t>
  </si>
  <si>
    <t>彩色粉笔</t>
  </si>
  <si>
    <t>湖北文峰/彩色
100盒/箱、国标、无尘、彩色、10*78mm</t>
  </si>
  <si>
    <t>100盒/箱、国标、无尘、彩色、10*78mm</t>
  </si>
  <si>
    <t>毛线</t>
  </si>
  <si>
    <t>上海贝壳家
12卷/包、色彩艳丽、幼儿园环创专用、适合诸多环创创意。</t>
  </si>
  <si>
    <t>12卷/包、色彩艳丽、幼儿园环创专用、适合诸多环创创意。</t>
  </si>
  <si>
    <t>环创用品</t>
  </si>
  <si>
    <t>纸绳</t>
  </si>
  <si>
    <t>上海贝壳家
12色/包、色彩艳丽、幼儿园环创专用、适合诸多环创创意。</t>
  </si>
  <si>
    <t>12色/包、色彩艳丽、幼儿园环创专用、适合诸多环创创意。</t>
  </si>
  <si>
    <t>彩色吹塑板</t>
  </si>
  <si>
    <t>上海贝壳家
4k、520*370mm、4mm厚、10色/包可选、DIY自由彩绘。</t>
  </si>
  <si>
    <t>4k、520*370mm、4mm厚、10色/包可选、DIY自由彩绘。</t>
  </si>
  <si>
    <t>麻绳</t>
  </si>
  <si>
    <t>上海贝壳家
2mm/200m长、幼儿园手工创意麻绳。</t>
  </si>
  <si>
    <t>2mm/200m长、幼儿园手工创意麻绳。</t>
  </si>
  <si>
    <t>大雁网</t>
  </si>
  <si>
    <t>上海贝壳家
装饰挂饰吊饰网4500*500mm、麻绳编织网布、又名：大雁网、幼儿园专用环创材料、适合诸多环创创意。</t>
  </si>
  <si>
    <t>8米/卷、麻绳编织网布、又名：大雁网、幼儿园专用环创材料、适合诸多环创创意。</t>
  </si>
  <si>
    <t>彩色布织布</t>
  </si>
  <si>
    <t>上海贝壳家
20张/包、4K、各色布织布、450*450mmmm、幼儿园环创专用、适合诸多环创创意。</t>
  </si>
  <si>
    <t>20张/包、4K、各色布织布、450*450mmmm、幼儿园环创专用、适合诸多环创创意。</t>
  </si>
  <si>
    <t>彩色海绵纸</t>
  </si>
  <si>
    <t>上海贝壳家
50*50cm、10张/包 各色海绵纸、幼儿园环创专用、适合诸多环创创意。</t>
  </si>
  <si>
    <t>50*50cm、10张/包 各色海绵纸、幼儿园环创专用、适合诸多环创创意。</t>
  </si>
  <si>
    <t>彩色卡纸</t>
  </si>
  <si>
    <t>上海贝壳家
4K、230g、100张/包、389*546mm彩色卡纸、幼儿园环创专用、适合诸多环创创意。</t>
  </si>
  <si>
    <t>4K、230g、100张/包、389*546mm彩色卡纸、幼儿园环创专用、适合诸多环创创意。</t>
  </si>
  <si>
    <t>蜡光纸</t>
  </si>
  <si>
    <t>上海贝壳家
心语、半开、各色蜡光纸、787*546mm、幼儿园环创专用、适合诸多环创创意。</t>
  </si>
  <si>
    <t>心语、半开、各色蜡光纸、787*546mm、幼儿园环创专用、适合诸多环创创意。</t>
  </si>
  <si>
    <t>瓦楞纸</t>
  </si>
  <si>
    <t>上海贝壳家
心语、4K、20张/包、各色 389*546mm彩色瓦楞纸、幼儿园环创专用、适合诸多环创创意。</t>
  </si>
  <si>
    <t>心语、4K、20张/包、各色 389*546mm彩色瓦楞纸、幼儿园环创专用、适合诸多环创创意。</t>
  </si>
  <si>
    <t>即时贴</t>
  </si>
  <si>
    <t>上海贝壳家
45cm宽、长600cm、自带背胶、6m/卷、幼儿园环创专用、适合校园DIY创意。</t>
  </si>
  <si>
    <t>45cm宽、长600cm、自带背胶、6m/卷、幼儿园环创专用、适合校园DIY创意。</t>
  </si>
  <si>
    <t>钻石贴</t>
  </si>
  <si>
    <t>气球</t>
  </si>
  <si>
    <t>上海贝壳家
1.2克单色 100个/包、多色可选、弹性大、不易破、质量好的。</t>
  </si>
  <si>
    <t>1.2克单色 100个/包、多色可选、弹性大、不易破、质量好的。</t>
  </si>
  <si>
    <t>一次性纸杯</t>
  </si>
  <si>
    <t>浙江金色
50个/包、加厚、220ml、环保PE膜、纯纸浆制作。</t>
  </si>
  <si>
    <t>50个/包、加厚、220ml、环保PE膜、纯纸浆制作。</t>
  </si>
  <si>
    <t>生活用品</t>
  </si>
  <si>
    <t>PE菜板</t>
  </si>
  <si>
    <t>广东昊源
长方形、390*600*15mm、PE材质、环保、耐用</t>
  </si>
  <si>
    <t>长方形、390*600*15mm、PE材质、环保、耐用</t>
  </si>
  <si>
    <t>食堂用品</t>
  </si>
  <si>
    <t>广东昊源
圆形、直径380mm、厚度70mm、PE材质、环保耐用</t>
  </si>
  <si>
    <t>圆形、直径380mm、厚度70mm、PE材质、环保耐用</t>
  </si>
  <si>
    <t>毛巾</t>
  </si>
  <si>
    <t>广东佳美特/6001
35*75cm，100g/6001 锦纶20%、涤纶80%</t>
  </si>
  <si>
    <t>35*75cm，100g/6001 锦纶20%、涤纶80%</t>
  </si>
  <si>
    <t>大布</t>
  </si>
  <si>
    <t>广东芳洁
加厚 洗锅 碗用39*39cm、8层、100%天然纤维</t>
  </si>
  <si>
    <t>加厚 洗锅 碗用39*39cm、8层、100%天然纤维</t>
  </si>
  <si>
    <t>钢丝球</t>
  </si>
  <si>
    <t>广东万家
4个/包、优质水拉丝材质、不掉屑、不伤手、不生锈</t>
  </si>
  <si>
    <t>4个/包、优质水拉丝材质、不掉屑、不伤手、不生锈</t>
  </si>
  <si>
    <t>垃圾桶</t>
  </si>
  <si>
    <t>浙江长丰
深度90cm，直径60CM，加厚塑料，绿色，带轮子，可推可拉。</t>
  </si>
  <si>
    <t>深度90cm，直径60CM，加厚塑料，绿色，带轮子，可推可拉。</t>
  </si>
  <si>
    <t>日用五金百货</t>
  </si>
  <si>
    <t>带眼垃圾筐</t>
  </si>
  <si>
    <t>浙江长丰/5002
5002、塑料纸篓、底部直径18.5cm、口径26.5cm、高度24</t>
  </si>
  <si>
    <t>5002、塑料纸篓、底部直径18.5cm、口径26.5cm、高度24</t>
  </si>
  <si>
    <t>塑料红桶</t>
  </si>
  <si>
    <t>广东良佳/8232
8232、32/底部直径25cm、口径32cm、高度29cm、红色带盖</t>
  </si>
  <si>
    <t>8232、32/底部直径25cm、口径32cm、高度29cm、红色带盖</t>
  </si>
  <si>
    <t>广东良佳/8215
直径10cm、口径15cm、高度20cm、红色带盖</t>
  </si>
  <si>
    <t>直径10cm、口径15cm、高度20cm、红色带盖</t>
  </si>
  <si>
    <t>加厚塑料盆</t>
  </si>
  <si>
    <t>广东良佳/33cm
加厚，底部直径23cm、口径36cm、深度11cm，环保熟胶、水果底色</t>
  </si>
  <si>
    <t>加厚，底部直径23cm、口径36cm、深度11cm，环保熟胶、水果底色</t>
  </si>
  <si>
    <t>垃圾袋</t>
  </si>
  <si>
    <t>浙江长丰
36#、36*55cm、黑色、40个/把、结实耐用</t>
  </si>
  <si>
    <t>36#、36*55cm、黑色、40个/把、结实耐用</t>
  </si>
  <si>
    <t>把</t>
  </si>
  <si>
    <t>浙江长丰
90#、90*110、黑色、25个/把、结实耐用</t>
  </si>
  <si>
    <t>90#、90*110、黑色、25个/把、结实耐用</t>
  </si>
  <si>
    <t>医疗垃圾袋</t>
  </si>
  <si>
    <t>浙江长丰
40#加厚、40*60cm、黄色、50个/把、结实耐用、医疗垃圾袋</t>
  </si>
  <si>
    <t>40#加厚、40*60cm、黄色、50个/把、结实耐用、医疗垃圾袋</t>
  </si>
  <si>
    <t>芨芨草扫把</t>
  </si>
  <si>
    <t>拜城地产
地产大扫把、芨芨草制作、带把子</t>
  </si>
  <si>
    <t>地产大扫把、芨芨草制作、带把子</t>
  </si>
  <si>
    <t>卫生用品</t>
  </si>
  <si>
    <t>大扫把</t>
  </si>
  <si>
    <t>拜城地产
竹子扫把 长150cm</t>
  </si>
  <si>
    <t>竹子扫把 长150cm</t>
  </si>
  <si>
    <t>拖把</t>
  </si>
  <si>
    <t>拜城地产
700g  纯棉、木柄彩条棉拖把</t>
  </si>
  <si>
    <t>700g  纯棉、木柄彩条棉拖把</t>
  </si>
  <si>
    <t>宽拖把</t>
  </si>
  <si>
    <t>浙江长丰CM80
不锈钢柄、80cm宽</t>
  </si>
  <si>
    <t>不锈钢柄、80cm宽</t>
  </si>
  <si>
    <t>浙江长丰CM100
不锈钢柄、100cm宽</t>
  </si>
  <si>
    <t>不锈钢柄、100cm宽</t>
  </si>
  <si>
    <t>老鼠粘板</t>
  </si>
  <si>
    <t>浙江强力/F20
老鼠粘板、175*220mm、F-20型</t>
  </si>
  <si>
    <t>老鼠粘板、175*220mm、F-20型</t>
  </si>
  <si>
    <t>铁皮簸箕</t>
  </si>
  <si>
    <t>拜城地产
加厚，铁皮簸箕、50cm高</t>
  </si>
  <si>
    <t>加厚，铁皮簸箕、50cm高</t>
  </si>
  <si>
    <t>塑料扫把</t>
  </si>
  <si>
    <t>浙江长丰/CF915
蝴蝶/CF915、不锈钢把子、扫把头宽330mm、把子长600mm</t>
  </si>
  <si>
    <t>蝴蝶/CF915、不锈钢把子、扫把头宽330mm、把子长600mm</t>
  </si>
  <si>
    <t>洗洁精</t>
  </si>
  <si>
    <t>浙江雕牌动力100/500ml
500ml/瓶、柠檬红茶洗洁精、柠檬香型、30瓶/件、A级食品配方、果蔬可洗。</t>
  </si>
  <si>
    <t>500ml/瓶、柠檬红茶洗洁精、柠檬香型、30瓶/件、A级食品配方、果蔬可洗。</t>
  </si>
  <si>
    <t>桶</t>
  </si>
  <si>
    <t>洗衣粉</t>
  </si>
  <si>
    <t>深圳汰渍/508g
508g、蕴含留香因子、长效熏香、双重洁净、去渍无残留</t>
  </si>
  <si>
    <t>508g、蕴含留香因子、长效熏香、双重洁净、去渍无残留</t>
  </si>
  <si>
    <t>袋</t>
  </si>
  <si>
    <t>线手套</t>
  </si>
  <si>
    <t>地产鑫利/800g
标准800克厚纯棉、白色</t>
  </si>
  <si>
    <t>标准800克厚纯棉、白色</t>
  </si>
  <si>
    <t>双</t>
  </si>
  <si>
    <t>香皂</t>
  </si>
  <si>
    <t>上海硫磺皂/84g
84g、硫磺皂、洗手抑菌消毒</t>
  </si>
  <si>
    <t>84g、硫磺皂、洗手抑菌消毒</t>
  </si>
  <si>
    <t>橡胶手套</t>
  </si>
  <si>
    <t>广东爱妻乳胶
牛筋短款/加厚橡胶手套、33cm/大码</t>
  </si>
  <si>
    <t>牛筋短款/加厚橡胶手套、33cm/大码</t>
  </si>
  <si>
    <t>油烟净</t>
  </si>
  <si>
    <t>河北皇舰油烟净/
油烟净、400g/瓶、2瓶/套、去除油烟更轻松、手榴弹型。</t>
  </si>
  <si>
    <t>油烟净、400g/瓶、2瓶/套、去除油烟更轻松、手榴弹型。</t>
  </si>
  <si>
    <t>厕所刷</t>
  </si>
  <si>
    <t>广东振兴/1967
圆头、塑料刷、长度50cm/1967</t>
  </si>
  <si>
    <t>圆头、塑料刷、长度50cm/1967</t>
  </si>
  <si>
    <t>不锈钢盆子</t>
  </si>
  <si>
    <t>浙江双喜/40cm
加厚，直径40cm、不锈钢</t>
  </si>
  <si>
    <t>加厚，直径40cm、不锈钢</t>
  </si>
  <si>
    <t>浙江双喜/80cm
加厚，直径80cm、不锈钢1.0mm</t>
  </si>
  <si>
    <t>加厚，直径80cm、不锈钢1.0mm</t>
  </si>
  <si>
    <t>不锈钢水舀</t>
  </si>
  <si>
    <t>浙江双喜/16-45
直径16cm、45cm长、不锈钢</t>
  </si>
  <si>
    <t>直径16cm、45cm长、不锈钢</t>
  </si>
  <si>
    <t>开水保温桶</t>
  </si>
  <si>
    <t>浙江胜达利/30L
30L保温桶、单龙，双层 加厚</t>
  </si>
  <si>
    <t>30L保温桶、单龙，双层 加厚</t>
  </si>
  <si>
    <t>不锈钢饭桶</t>
  </si>
  <si>
    <t>浙江胜达利40型
加厚带盖、直径40cm、1.0mm加厚不锈钢</t>
  </si>
  <si>
    <t>加厚带盖、直径40cm、1.0mm加厚不锈钢</t>
  </si>
  <si>
    <t>短袖工作服</t>
  </si>
  <si>
    <t>广东启航/
厚、白色、棉、短袖、厨师专用</t>
  </si>
  <si>
    <t>厚、白色、棉、短袖、厨师专用</t>
  </si>
  <si>
    <t>长袖工作服</t>
  </si>
  <si>
    <t>广东启航/
厚、白色、棉厚、白色、棉、长袖、厨师专用</t>
  </si>
  <si>
    <t>厚、白色、棉厚、白色、棉、长袖、厨师专用</t>
  </si>
  <si>
    <t>厨师帽子</t>
  </si>
  <si>
    <t>广东启航/
标准、厚 白色，纯棉</t>
  </si>
  <si>
    <t>标准、厚 白色，纯棉</t>
  </si>
  <si>
    <t>厨师围裙</t>
  </si>
  <si>
    <t>广东启航/
150cm、PVC、厚 防水</t>
  </si>
  <si>
    <t>150cm、PVC、厚 防水</t>
  </si>
  <si>
    <t>厨师袖套</t>
  </si>
  <si>
    <t>广东启航/
35cm、PVC、防水</t>
  </si>
  <si>
    <t>35cm、PVC、防水</t>
  </si>
  <si>
    <t>锅铲</t>
  </si>
  <si>
    <t>山东江鑫3号/
全不锈钢把子、加厚不锈钢铲、３号食堂锅铲、把长80cm</t>
  </si>
  <si>
    <t>全不锈钢把子、加厚不锈钢铲、３号食堂锅铲、把长80cm</t>
  </si>
  <si>
    <t>厨师口罩</t>
  </si>
  <si>
    <t>广东尊仕
塑胶、环保透明口罩/防雾/防哈气/低碳/可重复使用。</t>
  </si>
  <si>
    <t>塑胶、环保透明口罩/防雾/防哈气/低碳/可重复使用。</t>
  </si>
  <si>
    <t>强光手电筒</t>
  </si>
  <si>
    <t>广东遥明/8119
射程50m、铝合金T7075材质外壳、高亮度LED灯珠、寿命可达10万小时/8119。</t>
  </si>
  <si>
    <t>射程50m、铝合金T7075材质外壳、高亮度LED灯珠、寿命可达10万小时/8119。</t>
  </si>
  <si>
    <t>安检检测仪</t>
  </si>
  <si>
    <t>江苏企亚/GA203
金属检测仪（学校值班用）9V电池/GA023</t>
  </si>
  <si>
    <t>金属检测仪（学校值班用）9V电池/GA023</t>
  </si>
  <si>
    <t>安全警戒带</t>
  </si>
  <si>
    <t>江苏华卫/50m
蓝白双色、50米、尼龙</t>
  </si>
  <si>
    <t>蓝白双色、50米、尼龙</t>
  </si>
  <si>
    <t>人字梯</t>
  </si>
  <si>
    <t>广东步步高
200cm高、冷轧钢、人字梯、单面6踏步</t>
  </si>
  <si>
    <t>200cm高、冷轧钢、人字梯、单面6踏步</t>
  </si>
  <si>
    <t>水泥</t>
  </si>
  <si>
    <t>拜城金晖
25kg/袋、标准建筑水泥</t>
  </si>
  <si>
    <t>25kg/袋、标准建筑水泥</t>
  </si>
  <si>
    <t>生石灰</t>
  </si>
  <si>
    <t>拜城地产
生石灰、块状/抹子面、白色</t>
  </si>
  <si>
    <t>生石灰、块状/抹子面、白色</t>
  </si>
  <si>
    <t>kg</t>
  </si>
  <si>
    <t>外墙涂料</t>
  </si>
  <si>
    <t>拜城地产
地产、50公斤/桶，白色，外墙通用、含塑料桶费、退桶退费</t>
  </si>
  <si>
    <t>地产、50公斤/桶，白色，外墙通用、含塑料桶费、退桶退费</t>
  </si>
  <si>
    <t>内墙涂料</t>
  </si>
  <si>
    <t>拜城地产
地产、50公斤/桶，白色，内墙通用、含塑料桶费、退桶退费。</t>
  </si>
  <si>
    <t>地产、50公斤/桶，白色，内墙通用、含塑料桶费、退桶退费。</t>
  </si>
  <si>
    <t>一次性塑料手套</t>
  </si>
  <si>
    <t>山东鲁杰
一次性塑料手套/100支装</t>
  </si>
  <si>
    <t>包（50双）</t>
  </si>
  <si>
    <t>防疫物资</t>
  </si>
  <si>
    <t>一次性帽子</t>
  </si>
  <si>
    <t>山东鲁杰
一次性塑料帽子/松紧款/均码</t>
  </si>
  <si>
    <t>塑料</t>
  </si>
  <si>
    <t>一次性鞋套</t>
  </si>
  <si>
    <t>山东鲁杰
一次性塑料鞋套/松紧款/均码</t>
  </si>
  <si>
    <t>防护服</t>
  </si>
  <si>
    <t>彬州市/美戈尔/医用一次性防护服/带帽连体衣/透气防水/胶条密封/均码</t>
  </si>
  <si>
    <t>成人用，国标</t>
  </si>
  <si>
    <t>一次性隔离服</t>
  </si>
  <si>
    <t>山东鲁杰
一次性塑料隔离服/松紧款/均码</t>
  </si>
  <si>
    <t>护目镜</t>
  </si>
  <si>
    <t>山东四珠
尺寸17.5*8cm/材质：聚碳酸酯/重量67g/用途：防风、防撞、防尘、防砂</t>
  </si>
  <si>
    <t>医用帽子</t>
  </si>
  <si>
    <t>山东鲁杰
无仿布网网帽子/松紧款/均码</t>
  </si>
  <si>
    <t>锥形桶</t>
  </si>
  <si>
    <t>浙江郑悦/50CM/橡胶路锥高50厘米/底座32*32厘米/红白反光膜</t>
  </si>
  <si>
    <t>国标</t>
  </si>
  <si>
    <t>紫外线消毒车</t>
  </si>
  <si>
    <t>江苏瑞成
功率: 21W(含)-30W(含)，电压: 100V-240V，灯身材质: 钢；光源类型: 紫外线光源；质保年限: 1年(含)-3年</t>
  </si>
  <si>
    <t>功率: 21W(含)-30W(含)，电压: 100V-240V，灯身材质: 钢；光源类型: 紫外线光源；质保年限: 1年(含)-3年</t>
  </si>
  <si>
    <t>水鞋</t>
  </si>
  <si>
    <t>山东鲁昌
牛筋款高筒雨鞋/高38cm/黑色/尺码：38-45</t>
  </si>
  <si>
    <t>四线三格贴田字格黑板软磁铁粉笔黑板贴</t>
  </si>
  <si>
    <t>上海贝克家
四线三格贴田字格黑板软磁铁粉笔黑板贴/15*56cm</t>
  </si>
  <si>
    <t>防刺服</t>
  </si>
  <si>
    <t>靖江市国润FCF-2
金属防刺服/内胆外套可分离/适宜温度：-20到55度</t>
  </si>
  <si>
    <t>劳保用品</t>
  </si>
  <si>
    <t>头盔</t>
  </si>
  <si>
    <t>南昌京东JD-TK/15公斤动能冲击/规格280*280mm颜色：军绿
国标，加厚，结实耐用</t>
  </si>
  <si>
    <t>盾牌</t>
  </si>
  <si>
    <t>南昌京东FBP-BL/JD-F2/15公斤动能冲击/规格900*500mm净重：1.9kg
国标，加厚，结实耐用/专利号：201130032231</t>
  </si>
  <si>
    <t>国标，加厚，结实耐用</t>
  </si>
  <si>
    <t>胶棒</t>
  </si>
  <si>
    <t>南昌京东JD-JB/手握橡胶棒/规格350mm颜色：黑色
国标，结实耐用</t>
  </si>
  <si>
    <t>医疗专用周转箱</t>
  </si>
  <si>
    <t>上海英科医疗.40L，加厚，材质: 塑料；易清洗、结实耐用、有效隔离细菌，黄色</t>
  </si>
  <si>
    <t>40L，加厚，材质: 塑料；易清洗、结实耐用、有效隔离细菌，黄色</t>
  </si>
  <si>
    <t>学生食堂大锅</t>
  </si>
  <si>
    <t>山东利丰120型
口径1.2米，不生锈，适合炉灶
燃气电磁灶烧煤通用</t>
  </si>
  <si>
    <t>口径1.2米，不生锈，适合炉灶
燃气电磁灶烧煤通用</t>
  </si>
  <si>
    <t>山东利丰90型
口径0.9米，不生锈，适合炉灶
燃气电磁灶烧煤通用</t>
  </si>
  <si>
    <t>口径0.9米，不生锈，适合炉灶
燃气电磁灶烧煤通用</t>
  </si>
  <si>
    <t>山东利丰80型
口径0.8米，不生锈，适合炉灶
燃气电磁灶烧煤通用</t>
  </si>
  <si>
    <t>口径0.8米，不生锈，适合炉灶
燃气电磁灶烧煤通用</t>
  </si>
  <si>
    <t>帐篷</t>
  </si>
  <si>
    <t>地产
4米*3米，铁管加厚，夏季款，质保一年</t>
  </si>
  <si>
    <t>4米*3米，夏季款，质保一年</t>
  </si>
  <si>
    <t>疫情防控物资（留观室用）</t>
  </si>
  <si>
    <t>点火器</t>
  </si>
  <si>
    <t>广东科达
液化气、天然气灶使用点火器/长度80cm</t>
  </si>
  <si>
    <t>长度0.8米</t>
  </si>
  <si>
    <t>液化气、天然气灶使用</t>
  </si>
  <si>
    <t>警铃</t>
  </si>
  <si>
    <t>浙江CNTOPTE/报警款
带遥控、300米左右遥控器可以使用的，带安装</t>
  </si>
  <si>
    <t>带遥控、300米左右遥控器可以使用的，带安装</t>
  </si>
  <si>
    <t>电线</t>
  </si>
  <si>
    <t>上海澜翔BVR6MM
6平方铜线/单线铜芯</t>
  </si>
  <si>
    <t>6平方铜线</t>
  </si>
  <si>
    <t>五金</t>
  </si>
  <si>
    <t>米</t>
  </si>
  <si>
    <t>上海澜翔BVR4MM
4平方铜线/单线铜芯</t>
  </si>
  <si>
    <t>4平方铜线</t>
  </si>
  <si>
    <t>排风扇（带鼓风机）</t>
  </si>
  <si>
    <t>公众/FAD25-4/40*40CM，电压220v，转速1400,70瓦；上海高工燃气炉专用鼓风机/220v</t>
  </si>
  <si>
    <r>
      <rPr>
        <sz val="12"/>
        <color theme="1"/>
        <rFont val="楷体"/>
        <charset val="134"/>
      </rPr>
      <t>学生食堂用，鼓风机2</t>
    </r>
    <r>
      <rPr>
        <sz val="12"/>
        <color theme="1"/>
        <rFont val="楷体"/>
        <charset val="134"/>
      </rPr>
      <t>0</t>
    </r>
    <r>
      <rPr>
        <sz val="12"/>
        <color theme="1"/>
        <rFont val="楷体"/>
        <charset val="134"/>
      </rPr>
      <t>00W,220V</t>
    </r>
  </si>
  <si>
    <t>拔河绳</t>
  </si>
  <si>
    <t>山东德民/35mm、25米、加粗，耐用、麻绳</t>
  </si>
  <si>
    <t>35mm、25米、加粗，耐用、麻绳</t>
  </si>
  <si>
    <t>体育用品</t>
  </si>
  <si>
    <t>根</t>
  </si>
  <si>
    <t>打气筒</t>
  </si>
  <si>
    <t>浙江百美/ 106中号/金属省力打气筒45cm</t>
  </si>
  <si>
    <t>百美 106中号</t>
  </si>
  <si>
    <t>短跳绳</t>
  </si>
  <si>
    <t>浙江健仕达/0718、专业木柄橡胶，耐用</t>
  </si>
  <si>
    <t>0718、专业木柄橡胶，耐用</t>
  </si>
  <si>
    <t>中国象棋</t>
  </si>
  <si>
    <t>浙江先行者/磁性 可折叠 大号31.5cm*31.5cm</t>
  </si>
  <si>
    <t>磁性 可折叠 大号31.5cm*31.5cm</t>
  </si>
  <si>
    <t>鸡毛毽子</t>
  </si>
  <si>
    <t>浙江鳕花/高度15cm重量21克、四片毛</t>
  </si>
  <si>
    <t>高度15cm重量21克、四片毛</t>
  </si>
  <si>
    <t>篮球</t>
  </si>
  <si>
    <t>广东乔丹篮球/7号标准比赛篮球、PU皮、正品</t>
  </si>
  <si>
    <t>841、7号标准比赛篮球、PU皮、正品</t>
  </si>
  <si>
    <t>排球</t>
  </si>
  <si>
    <t>浙江利生/vp51、5号标准比赛排球、PU皮、正品</t>
  </si>
  <si>
    <t>vp51、5号标准比赛排球、PU皮、正品</t>
  </si>
  <si>
    <t>足球</t>
  </si>
  <si>
    <t>浙江利生/F2008、5号标准足球、PU皮、正品</t>
  </si>
  <si>
    <t>F2008、5号标准足球、PU皮、正品</t>
  </si>
  <si>
    <t>乒乓球</t>
  </si>
  <si>
    <t>上海红双喜/10个/盒、一星标准比赛用球、白色、正品</t>
  </si>
  <si>
    <t>10个/盒、一星标准比赛用球、白色、正品</t>
  </si>
  <si>
    <t>乒乓球拍</t>
  </si>
  <si>
    <t>上海红双喜/889、直板/横板、正品</t>
  </si>
  <si>
    <t>889、直板/横板、正品</t>
  </si>
  <si>
    <t>副</t>
  </si>
  <si>
    <t>跳棋</t>
  </si>
  <si>
    <t>浙江华烨/计数型、六角、益智游戏跳棋、棋盘直径36cm</t>
  </si>
  <si>
    <t>计数型、六角、益智游戏跳棋、棋盘直径36cm</t>
  </si>
  <si>
    <t>跳绳</t>
  </si>
  <si>
    <t>浙江维嘉威/型号288，电子计数钢丝绳 ，可负重，3米</t>
  </si>
  <si>
    <t>型号288，电子计数钢丝绳 ，可负重，3米</t>
  </si>
  <si>
    <t>长跳绳</t>
  </si>
  <si>
    <t>浙江健仕达/木柄 10米</t>
  </si>
  <si>
    <t>木柄 10米</t>
  </si>
  <si>
    <t>铁质口哨</t>
  </si>
  <si>
    <t xml:space="preserve">浙江OK/ ok不锈钢  中号  </t>
  </si>
  <si>
    <t xml:space="preserve"> ok不锈钢  中号  </t>
  </si>
  <si>
    <t>羽毛球</t>
  </si>
  <si>
    <t>浙江南极风/正品、402、12个/筒、808  75速，选用鸭毛</t>
  </si>
  <si>
    <t>正品、402、12个/筒、808  75速，选用鸭毛</t>
  </si>
  <si>
    <t>羽毛球拍</t>
  </si>
  <si>
    <t>浙江狂风/正品、8210羽毛球拍、钛合金、</t>
  </si>
  <si>
    <t>正品、8210羽毛球拍、钛合金、</t>
  </si>
  <si>
    <t>羽毛球网</t>
  </si>
  <si>
    <t>山东德民/国标、人造纤维、610*76cm</t>
  </si>
  <si>
    <t>国标、人造纤维、610*76cm</t>
  </si>
  <si>
    <t>排球网</t>
  </si>
  <si>
    <t>山东德民/新国标比赛型排球网、聚乙烯尼龙绳、孔径10*10cm、700*100cm</t>
  </si>
  <si>
    <t>新国标比赛型排球网、聚乙烯尼龙绳、孔径10*10cm、700*100cm</t>
  </si>
  <si>
    <t>足球网</t>
  </si>
  <si>
    <t>山东德民/新国标比赛型足球网、聚乙烯尼龙绳、孔径10*10cm、线径4mm/5人制3.2*2.1米</t>
  </si>
  <si>
    <t>新国标</t>
  </si>
  <si>
    <t>篮球网</t>
  </si>
  <si>
    <t>山东德民/新国标材质：加强型涤纶/颜色红白蓝三色/防雨/耐高低温/50cm</t>
  </si>
  <si>
    <t>kt板</t>
  </si>
  <si>
    <t>广东金画王新型不起泡KT板/1.2米*2.4米*厚度0.6mm/白色</t>
  </si>
  <si>
    <t>1.2米*2.4米*厚度0.6mm/白色</t>
  </si>
  <si>
    <t>装饰装修用品（装潢）</t>
  </si>
  <si>
    <t>pvc板</t>
  </si>
  <si>
    <t>广东金画王新型不起泡PVC板/白色/1.2*2.4米/厚度0.6mm</t>
  </si>
  <si>
    <t>白色/1.2*2.4米/厚度0.6mm</t>
  </si>
  <si>
    <t>广东金画王新型不起泡PVC板/彩色/1.2*2.4米/厚度1.1mm</t>
  </si>
  <si>
    <t>彩色/1.2*2.4米/厚度1.1mm</t>
  </si>
  <si>
    <t>墙贴</t>
  </si>
  <si>
    <t>广东美点贴饰/3D立体
3D立体、纸浆制作、自带背胶、白色、蓝色、粉色、黄色可选、70*77cm、7mm厚</t>
  </si>
  <si>
    <t>3D立体、纸浆制作、自带背胶、白色、蓝色、粉色、黄色可选、70*77cm、7mm厚</t>
  </si>
  <si>
    <t>片</t>
  </si>
  <si>
    <t>热熔胶枪</t>
  </si>
  <si>
    <t>广东艾诺斯
100w、幼儿园环创用品、适合11mm直径胶棒</t>
  </si>
  <si>
    <t>100w、幼儿园环创用品、适合11mm直径胶棒</t>
  </si>
  <si>
    <t>热熔胶棒</t>
  </si>
  <si>
    <t>广东艾诺斯
直径11mm、长度280mm、幼儿园环创用品、粘性强。</t>
  </si>
  <si>
    <t>直径11mm、长度280mm、幼儿园环创用品、粘性强。</t>
  </si>
  <si>
    <t>合计金额：</t>
  </si>
  <si>
    <t>合计金额大写：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</si>
</sst>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[Red]\(0.00\)"/>
    <numFmt numFmtId="178" formatCode="[DBNum2][$RMB]General;[Red][DBNum2][$RMB]General"/>
  </numFmts>
  <fonts count="35">
    <font>
      <sz val="11"/>
      <color theme="1"/>
      <name val="宋体"/>
      <charset val="134"/>
      <scheme val="minor"/>
    </font>
    <font>
      <sz val="12"/>
      <color theme="1"/>
      <name val="楷体"/>
      <charset val="134"/>
    </font>
    <font>
      <sz val="11"/>
      <color theme="1"/>
      <name val="楷体"/>
      <charset val="134"/>
    </font>
    <font>
      <b/>
      <sz val="16"/>
      <color rgb="FFFF0000"/>
      <name val="楷体"/>
      <charset val="134"/>
    </font>
    <font>
      <b/>
      <sz val="16"/>
      <color theme="1"/>
      <name val="楷体"/>
      <charset val="134"/>
    </font>
    <font>
      <b/>
      <sz val="11"/>
      <color theme="1"/>
      <name val="楷体"/>
      <charset val="134"/>
    </font>
    <font>
      <b/>
      <sz val="11"/>
      <color theme="1"/>
      <name val="宋体"/>
      <charset val="134"/>
    </font>
    <font>
      <b/>
      <sz val="9"/>
      <color theme="1"/>
      <name val="宋体"/>
      <charset val="134"/>
    </font>
    <font>
      <b/>
      <sz val="11"/>
      <color indexed="8"/>
      <name val="宋体"/>
      <charset val="134"/>
    </font>
    <font>
      <b/>
      <sz val="12"/>
      <color theme="1"/>
      <name val="宋体"/>
      <charset val="134"/>
    </font>
    <font>
      <sz val="12"/>
      <color rgb="FF000000"/>
      <name val="楷体"/>
      <charset val="134"/>
    </font>
    <font>
      <b/>
      <sz val="11"/>
      <color rgb="FF000000"/>
      <name val="楷体"/>
      <charset val="134"/>
    </font>
    <font>
      <b/>
      <sz val="12"/>
      <color theme="1"/>
      <name val="楷体"/>
      <charset val="134"/>
    </font>
    <font>
      <sz val="14"/>
      <color theme="1"/>
      <name val="楷体"/>
      <charset val="134"/>
    </font>
    <font>
      <sz val="11"/>
      <color indexed="8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6">
    <xf numFmtId="0" fontId="0" fillId="0" borderId="0">
      <alignment vertical="center"/>
    </xf>
    <xf numFmtId="0" fontId="14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6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8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10" borderId="7" applyNumberFormat="0" applyFont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25" fillId="0" borderId="8" applyNumberFormat="0" applyFill="0" applyAlignment="0" applyProtection="0">
      <alignment vertical="center"/>
    </xf>
    <xf numFmtId="0" fontId="26" fillId="0" borderId="8" applyNumberFormat="0" applyFill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27" fillId="14" borderId="10" applyNumberFormat="0" applyAlignment="0" applyProtection="0">
      <alignment vertical="center"/>
    </xf>
    <xf numFmtId="0" fontId="28" fillId="14" borderId="6" applyNumberFormat="0" applyAlignment="0" applyProtection="0">
      <alignment vertical="center"/>
    </xf>
    <xf numFmtId="0" fontId="29" fillId="15" borderId="11" applyNumberForma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0" borderId="13" applyNumberFormat="0" applyFill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0" fillId="0" borderId="0">
      <alignment vertical="center"/>
    </xf>
    <xf numFmtId="0" fontId="15" fillId="20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5" fillId="2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5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0" fillId="0" borderId="0">
      <alignment vertical="center"/>
    </xf>
    <xf numFmtId="0" fontId="18" fillId="27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9" borderId="0" applyNumberFormat="0" applyBorder="0" applyAlignment="0" applyProtection="0">
      <alignment vertical="center"/>
    </xf>
    <xf numFmtId="0" fontId="0" fillId="0" borderId="0">
      <alignment vertical="center"/>
    </xf>
    <xf numFmtId="0" fontId="18" fillId="30" borderId="0" applyNumberFormat="0" applyBorder="0" applyAlignment="0" applyProtection="0">
      <alignment vertical="center"/>
    </xf>
    <xf numFmtId="0" fontId="15" fillId="31" borderId="0" applyNumberFormat="0" applyBorder="0" applyAlignment="0" applyProtection="0">
      <alignment vertical="center"/>
    </xf>
    <xf numFmtId="0" fontId="18" fillId="32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8" fillId="35" borderId="0" applyNumberFormat="0" applyBorder="0" applyAlignment="0" applyProtection="0">
      <alignment vertical="center"/>
    </xf>
    <xf numFmtId="0" fontId="34" fillId="0" borderId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34" fillId="0" borderId="0">
      <alignment vertical="center"/>
    </xf>
    <xf numFmtId="0" fontId="1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58">
    <xf numFmtId="0" fontId="0" fillId="0" borderId="0" xfId="0">
      <alignment vertical="center"/>
    </xf>
    <xf numFmtId="0" fontId="1" fillId="2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 wrapText="1"/>
    </xf>
    <xf numFmtId="177" fontId="1" fillId="2" borderId="0" xfId="0" applyNumberFormat="1" applyFont="1" applyFill="1" applyAlignment="1">
      <alignment horizontal="center" vertical="center" wrapText="1"/>
    </xf>
    <xf numFmtId="0" fontId="1" fillId="0" borderId="0" xfId="0" applyFont="1">
      <alignment vertical="center"/>
    </xf>
    <xf numFmtId="0" fontId="3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177" fontId="4" fillId="2" borderId="0" xfId="0" applyNumberFormat="1" applyFont="1" applyFill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 shrinkToFit="1"/>
    </xf>
    <xf numFmtId="177" fontId="5" fillId="2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 applyProtection="1">
      <alignment horizontal="center" vertical="center" wrapText="1" shrinkToFit="1"/>
    </xf>
    <xf numFmtId="0" fontId="5" fillId="2" borderId="1" xfId="0" applyFont="1" applyFill="1" applyBorder="1" applyAlignment="1">
      <alignment vertical="center" wrapText="1"/>
    </xf>
    <xf numFmtId="0" fontId="2" fillId="2" borderId="1" xfId="0" applyFont="1" applyFill="1" applyBorder="1" applyAlignment="1">
      <alignment vertical="center" wrapText="1"/>
    </xf>
    <xf numFmtId="0" fontId="1" fillId="2" borderId="1" xfId="65" applyFont="1" applyFill="1" applyBorder="1" applyAlignment="1">
      <alignment vertical="center" wrapText="1" shrinkToFit="1"/>
    </xf>
    <xf numFmtId="0" fontId="1" fillId="2" borderId="1" xfId="0" applyFont="1" applyFill="1" applyBorder="1" applyAlignment="1" applyProtection="1">
      <alignment vertical="center" wrapText="1"/>
    </xf>
    <xf numFmtId="177" fontId="1" fillId="2" borderId="1" xfId="65" applyNumberFormat="1" applyFont="1" applyFill="1" applyBorder="1" applyAlignment="1">
      <alignment horizontal="center" vertical="center" wrapText="1" shrinkToFit="1"/>
    </xf>
    <xf numFmtId="0" fontId="1" fillId="2" borderId="1" xfId="65" applyFont="1" applyFill="1" applyBorder="1" applyAlignment="1">
      <alignment vertical="center" wrapText="1"/>
    </xf>
    <xf numFmtId="0" fontId="1" fillId="2" borderId="1" xfId="65" applyFont="1" applyFill="1" applyBorder="1" applyAlignment="1">
      <alignment horizontal="center"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vertical="center" wrapText="1" shrinkToFit="1"/>
    </xf>
    <xf numFmtId="0" fontId="1" fillId="2" borderId="1" xfId="65" applyFont="1" applyFill="1" applyBorder="1" applyAlignment="1">
      <alignment horizontal="center" vertical="center" wrapText="1" shrinkToFit="1"/>
    </xf>
    <xf numFmtId="0" fontId="6" fillId="2" borderId="1" xfId="0" applyFont="1" applyFill="1" applyBorder="1" applyAlignment="1">
      <alignment vertical="center" wrapText="1"/>
    </xf>
    <xf numFmtId="0" fontId="7" fillId="2" borderId="2" xfId="0" applyFont="1" applyFill="1" applyBorder="1" applyAlignment="1">
      <alignment vertical="center" wrapText="1"/>
    </xf>
    <xf numFmtId="0" fontId="5" fillId="3" borderId="1" xfId="0" applyFont="1" applyFill="1" applyBorder="1" applyAlignment="1">
      <alignment horizontal="center" vertical="center" wrapText="1" shrinkToFit="1"/>
    </xf>
    <xf numFmtId="177" fontId="5" fillId="3" borderId="1" xfId="0" applyNumberFormat="1" applyFont="1" applyFill="1" applyBorder="1" applyAlignment="1">
      <alignment horizontal="center" vertical="center" wrapText="1" shrinkToFit="1"/>
    </xf>
    <xf numFmtId="0" fontId="2" fillId="0" borderId="1" xfId="0" applyNumberFormat="1" applyFont="1" applyFill="1" applyBorder="1" applyAlignment="1">
      <alignment horizontal="center" vertical="center" wrapText="1"/>
    </xf>
    <xf numFmtId="0" fontId="8" fillId="0" borderId="1" xfId="61" applyFont="1" applyFill="1" applyBorder="1" applyAlignment="1" applyProtection="1">
      <alignment vertical="center" wrapText="1"/>
    </xf>
    <xf numFmtId="0" fontId="1" fillId="2" borderId="1" xfId="0" applyFont="1" applyFill="1" applyBorder="1" applyAlignment="1">
      <alignment vertical="center" wrapText="1"/>
    </xf>
    <xf numFmtId="176" fontId="1" fillId="2" borderId="1" xfId="0" applyNumberFormat="1" applyFont="1" applyFill="1" applyBorder="1" applyAlignment="1">
      <alignment horizontal="center" vertical="center" wrapText="1"/>
    </xf>
    <xf numFmtId="176" fontId="1" fillId="2" borderId="1" xfId="0" applyNumberFormat="1" applyFont="1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/>
    </xf>
    <xf numFmtId="0" fontId="1" fillId="2" borderId="1" xfId="0" applyFont="1" applyFill="1" applyBorder="1" applyAlignment="1" applyProtection="1">
      <alignment horizontal="center" vertical="center" wrapText="1"/>
    </xf>
    <xf numFmtId="0" fontId="9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vertical="center" wrapText="1"/>
    </xf>
    <xf numFmtId="0" fontId="10" fillId="4" borderId="1" xfId="65" applyFont="1" applyFill="1" applyBorder="1" applyAlignment="1" applyProtection="1">
      <alignment horizontal="center" vertical="center" wrapText="1"/>
    </xf>
    <xf numFmtId="0" fontId="11" fillId="4" borderId="1" xfId="0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vertical="center" wrapText="1"/>
    </xf>
    <xf numFmtId="0" fontId="10" fillId="4" borderId="1" xfId="65" applyFont="1" applyFill="1" applyBorder="1" applyAlignment="1" applyProtection="1">
      <alignment vertical="center" wrapText="1"/>
    </xf>
    <xf numFmtId="176" fontId="12" fillId="0" borderId="1" xfId="0" applyNumberFormat="1" applyFont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 wrapText="1" shrinkToFit="1"/>
    </xf>
    <xf numFmtId="0" fontId="10" fillId="4" borderId="3" xfId="0" applyFont="1" applyFill="1" applyBorder="1" applyAlignment="1">
      <alignment horizontal="center" vertical="center" wrapText="1" shrinkToFit="1"/>
    </xf>
    <xf numFmtId="0" fontId="10" fillId="4" borderId="3" xfId="0" applyFont="1" applyFill="1" applyBorder="1" applyAlignment="1">
      <alignment horizontal="center" vertical="center" wrapText="1"/>
    </xf>
    <xf numFmtId="0" fontId="10" fillId="4" borderId="3" xfId="0" applyFont="1" applyFill="1" applyBorder="1" applyAlignment="1">
      <alignment vertical="center" wrapText="1"/>
    </xf>
    <xf numFmtId="0" fontId="1" fillId="2" borderId="3" xfId="65" applyFont="1" applyFill="1" applyBorder="1" applyAlignment="1">
      <alignment vertical="center" wrapText="1" shrinkToFit="1"/>
    </xf>
    <xf numFmtId="176" fontId="12" fillId="0" borderId="3" xfId="0" applyNumberFormat="1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178" fontId="13" fillId="2" borderId="5" xfId="0" applyNumberFormat="1" applyFont="1" applyFill="1" applyBorder="1" applyAlignment="1">
      <alignment horizontal="center" vertical="center" wrapText="1"/>
    </xf>
    <xf numFmtId="178" fontId="13" fillId="2" borderId="2" xfId="0" applyNumberFormat="1" applyFont="1" applyFill="1" applyBorder="1" applyAlignment="1">
      <alignment horizontal="center" vertical="center" wrapText="1"/>
    </xf>
  </cellXfs>
  <cellStyles count="66">
    <cellStyle name="常规" xfId="0" builtinId="0"/>
    <cellStyle name="常规 4 2 2" xfId="1"/>
    <cellStyle name="货币[0]" xfId="2" builtinId="7"/>
    <cellStyle name="20% - 强调文字颜色 3" xfId="3" builtinId="38"/>
    <cellStyle name="输入" xfId="4" builtinId="20"/>
    <cellStyle name="货币" xfId="5" builtinId="4"/>
    <cellStyle name="千位分隔[0]" xfId="6" builtinId="6"/>
    <cellStyle name="40% - 强调文字颜色 3" xfId="7" builtinId="39"/>
    <cellStyle name="差" xfId="8" builtinId="27"/>
    <cellStyle name="千位分隔" xfId="9" builtinId="3"/>
    <cellStyle name="常规 3 10" xfId="10"/>
    <cellStyle name="60% - 强调文字颜色 3" xfId="11" builtinId="40"/>
    <cellStyle name="超链接" xfId="12" builtinId="8"/>
    <cellStyle name="百分比" xfId="13" builtinId="5"/>
    <cellStyle name="已访问的超链接" xfId="14" builtinId="9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常规 3 2 2" xfId="20"/>
    <cellStyle name="解释性文本" xfId="21" builtinId="53"/>
    <cellStyle name="常规 8" xfId="22"/>
    <cellStyle name="标题 1" xfId="23" builtinId="16"/>
    <cellStyle name="标题 2" xfId="24" builtinId="17"/>
    <cellStyle name="60% - 强调文字颜色 1" xfId="25" builtinId="32"/>
    <cellStyle name="标题 3" xfId="26" builtinId="18"/>
    <cellStyle name="60% - 强调文字颜色 4" xfId="27" builtinId="44"/>
    <cellStyle name="输出" xfId="28" builtinId="21"/>
    <cellStyle name="计算" xfId="29" builtinId="22"/>
    <cellStyle name="检查单元格" xfId="30" builtinId="23"/>
    <cellStyle name="20% - 强调文字颜色 6" xfId="31" builtinId="50"/>
    <cellStyle name="强调文字颜色 2" xfId="32" builtinId="33"/>
    <cellStyle name="链接单元格" xfId="33" builtinId="24"/>
    <cellStyle name="汇总" xfId="34" builtinId="25"/>
    <cellStyle name="好" xfId="35" builtinId="26"/>
    <cellStyle name="适中" xfId="36" builtinId="28"/>
    <cellStyle name="常规 46" xfId="37"/>
    <cellStyle name="20% - 强调文字颜色 5" xfId="38" builtinId="46"/>
    <cellStyle name="强调文字颜色 1" xfId="39" builtinId="29"/>
    <cellStyle name="20% - 强调文字颜色 1" xfId="40" builtinId="30"/>
    <cellStyle name="40% - 强调文字颜色 1" xfId="41" builtinId="31"/>
    <cellStyle name="20% - 强调文字颜色 2" xfId="42" builtinId="34"/>
    <cellStyle name="40% - 强调文字颜色 2" xfId="43" builtinId="35"/>
    <cellStyle name="强调文字颜色 3" xfId="44" builtinId="37"/>
    <cellStyle name="常规 3 2" xfId="45"/>
    <cellStyle name="强调文字颜色 4" xfId="46" builtinId="41"/>
    <cellStyle name="20% - 强调文字颜色 4" xfId="47" builtinId="42"/>
    <cellStyle name="40% - 强调文字颜色 4" xfId="48" builtinId="43"/>
    <cellStyle name="常规 3 3" xfId="49"/>
    <cellStyle name="强调文字颜色 5" xfId="50" builtinId="45"/>
    <cellStyle name="40% - 强调文字颜色 5" xfId="51" builtinId="47"/>
    <cellStyle name="60% - 强调文字颜色 5" xfId="52" builtinId="48"/>
    <cellStyle name="强调文字颜色 6" xfId="53" builtinId="49"/>
    <cellStyle name="40% - 强调文字颜色 6" xfId="54" builtinId="51"/>
    <cellStyle name="60% - 强调文字颜色 6" xfId="55" builtinId="52"/>
    <cellStyle name="常规 3 2 2 2" xfId="56"/>
    <cellStyle name="常规 3 6" xfId="57"/>
    <cellStyle name="常规 4" xfId="58"/>
    <cellStyle name="常规 3 9" xfId="59"/>
    <cellStyle name="常规 36" xfId="60"/>
    <cellStyle name="常规 4 2" xfId="61"/>
    <cellStyle name="常规 65" xfId="62"/>
    <cellStyle name="常规 3 7" xfId="63"/>
    <cellStyle name="常规 3 5" xfId="64"/>
    <cellStyle name="常规 3" xfId="65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png"/><Relationship Id="rId98" Type="http://schemas.openxmlformats.org/officeDocument/2006/relationships/image" Target="media/image98.png"/><Relationship Id="rId97" Type="http://schemas.openxmlformats.org/officeDocument/2006/relationships/image" Target="media/image97.png"/><Relationship Id="rId96" Type="http://schemas.openxmlformats.org/officeDocument/2006/relationships/image" Target="media/image96.png"/><Relationship Id="rId95" Type="http://schemas.openxmlformats.org/officeDocument/2006/relationships/image" Target="media/image95.png"/><Relationship Id="rId94" Type="http://schemas.openxmlformats.org/officeDocument/2006/relationships/image" Target="media/image94.png"/><Relationship Id="rId93" Type="http://schemas.openxmlformats.org/officeDocument/2006/relationships/image" Target="media/image93.png"/><Relationship Id="rId92" Type="http://schemas.openxmlformats.org/officeDocument/2006/relationships/image" Target="media/image92.png"/><Relationship Id="rId91" Type="http://schemas.openxmlformats.org/officeDocument/2006/relationships/image" Target="media/image91.png"/><Relationship Id="rId90" Type="http://schemas.openxmlformats.org/officeDocument/2006/relationships/image" Target="media/image90.jpeg"/><Relationship Id="rId9" Type="http://schemas.openxmlformats.org/officeDocument/2006/relationships/image" Target="media/image9.pn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jpe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jpe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jpe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6" Type="http://schemas.openxmlformats.org/officeDocument/2006/relationships/image" Target="media/image156.png"/><Relationship Id="rId155" Type="http://schemas.openxmlformats.org/officeDocument/2006/relationships/image" Target="media/image155.png"/><Relationship Id="rId154" Type="http://schemas.openxmlformats.org/officeDocument/2006/relationships/image" Target="media/image154.jpeg"/><Relationship Id="rId153" Type="http://schemas.openxmlformats.org/officeDocument/2006/relationships/image" Target="media/image153.jpeg"/><Relationship Id="rId152" Type="http://schemas.openxmlformats.org/officeDocument/2006/relationships/image" Target="media/image152.jpeg"/><Relationship Id="rId151" Type="http://schemas.openxmlformats.org/officeDocument/2006/relationships/image" Target="media/image151.jpeg"/><Relationship Id="rId150" Type="http://schemas.openxmlformats.org/officeDocument/2006/relationships/image" Target="media/image150.jpeg"/><Relationship Id="rId15" Type="http://schemas.openxmlformats.org/officeDocument/2006/relationships/image" Target="media/image15.png"/><Relationship Id="rId149" Type="http://schemas.openxmlformats.org/officeDocument/2006/relationships/image" Target="media/image149.jpeg"/><Relationship Id="rId148" Type="http://schemas.openxmlformats.org/officeDocument/2006/relationships/image" Target="media/image148.jpeg"/><Relationship Id="rId147" Type="http://schemas.openxmlformats.org/officeDocument/2006/relationships/image" Target="media/image147.jpeg"/><Relationship Id="rId146" Type="http://schemas.openxmlformats.org/officeDocument/2006/relationships/image" Target="media/image146.jpeg"/><Relationship Id="rId145" Type="http://schemas.openxmlformats.org/officeDocument/2006/relationships/image" Target="media/image145.jpeg"/><Relationship Id="rId144" Type="http://schemas.openxmlformats.org/officeDocument/2006/relationships/image" Target="media/image144.jpeg"/><Relationship Id="rId143" Type="http://schemas.openxmlformats.org/officeDocument/2006/relationships/image" Target="media/image143.jpeg"/><Relationship Id="rId142" Type="http://schemas.openxmlformats.org/officeDocument/2006/relationships/image" Target="media/image142.jpeg"/><Relationship Id="rId141" Type="http://schemas.openxmlformats.org/officeDocument/2006/relationships/image" Target="media/image141.jpeg"/><Relationship Id="rId140" Type="http://schemas.openxmlformats.org/officeDocument/2006/relationships/image" Target="media/image140.jpeg"/><Relationship Id="rId14" Type="http://schemas.openxmlformats.org/officeDocument/2006/relationships/image" Target="media/image14.png"/><Relationship Id="rId139" Type="http://schemas.openxmlformats.org/officeDocument/2006/relationships/image" Target="media/image139.jpeg"/><Relationship Id="rId138" Type="http://schemas.openxmlformats.org/officeDocument/2006/relationships/image" Target="media/image138.jpeg"/><Relationship Id="rId137" Type="http://schemas.openxmlformats.org/officeDocument/2006/relationships/image" Target="media/image137.png"/><Relationship Id="rId136" Type="http://schemas.openxmlformats.org/officeDocument/2006/relationships/image" Target="media/image136.jpeg"/><Relationship Id="rId135" Type="http://schemas.openxmlformats.org/officeDocument/2006/relationships/image" Target="media/image135.png"/><Relationship Id="rId134" Type="http://schemas.openxmlformats.org/officeDocument/2006/relationships/image" Target="media/image134.jpeg"/><Relationship Id="rId133" Type="http://schemas.openxmlformats.org/officeDocument/2006/relationships/image" Target="media/image133.jpeg"/><Relationship Id="rId132" Type="http://schemas.openxmlformats.org/officeDocument/2006/relationships/image" Target="media/image132.png"/><Relationship Id="rId131" Type="http://schemas.openxmlformats.org/officeDocument/2006/relationships/image" Target="media/image131.png"/><Relationship Id="rId130" Type="http://schemas.openxmlformats.org/officeDocument/2006/relationships/image" Target="media/image130.png"/><Relationship Id="rId13" Type="http://schemas.openxmlformats.org/officeDocument/2006/relationships/image" Target="media/image13.png"/><Relationship Id="rId129" Type="http://schemas.openxmlformats.org/officeDocument/2006/relationships/image" Target="media/image129.png"/><Relationship Id="rId128" Type="http://schemas.openxmlformats.org/officeDocument/2006/relationships/image" Target="media/image128.jpeg"/><Relationship Id="rId127" Type="http://schemas.openxmlformats.org/officeDocument/2006/relationships/image" Target="media/image127.png"/><Relationship Id="rId126" Type="http://schemas.openxmlformats.org/officeDocument/2006/relationships/image" Target="media/image126.jpeg"/><Relationship Id="rId125" Type="http://schemas.openxmlformats.org/officeDocument/2006/relationships/image" Target="media/image125.jpeg"/><Relationship Id="rId124" Type="http://schemas.openxmlformats.org/officeDocument/2006/relationships/image" Target="media/image124.png"/><Relationship Id="rId123" Type="http://schemas.openxmlformats.org/officeDocument/2006/relationships/image" Target="media/image123.jpeg"/><Relationship Id="rId122" Type="http://schemas.openxmlformats.org/officeDocument/2006/relationships/image" Target="media/image122.jpeg"/><Relationship Id="rId121" Type="http://schemas.openxmlformats.org/officeDocument/2006/relationships/image" Target="media/image121.png"/><Relationship Id="rId120" Type="http://schemas.openxmlformats.org/officeDocument/2006/relationships/image" Target="media/image120.jpeg"/><Relationship Id="rId12" Type="http://schemas.openxmlformats.org/officeDocument/2006/relationships/image" Target="media/image12.png"/><Relationship Id="rId119" Type="http://schemas.openxmlformats.org/officeDocument/2006/relationships/image" Target="media/image119.png"/><Relationship Id="rId118" Type="http://schemas.openxmlformats.org/officeDocument/2006/relationships/image" Target="media/image118.png"/><Relationship Id="rId117" Type="http://schemas.openxmlformats.org/officeDocument/2006/relationships/image" Target="media/image117.png"/><Relationship Id="rId116" Type="http://schemas.openxmlformats.org/officeDocument/2006/relationships/image" Target="media/image116.png"/><Relationship Id="rId115" Type="http://schemas.openxmlformats.org/officeDocument/2006/relationships/image" Target="media/image115.png"/><Relationship Id="rId114" Type="http://schemas.openxmlformats.org/officeDocument/2006/relationships/image" Target="media/image114.png"/><Relationship Id="rId113" Type="http://schemas.openxmlformats.org/officeDocument/2006/relationships/image" Target="media/image113.png"/><Relationship Id="rId112" Type="http://schemas.openxmlformats.org/officeDocument/2006/relationships/image" Target="media/image112.png"/><Relationship Id="rId111" Type="http://schemas.openxmlformats.org/officeDocument/2006/relationships/image" Target="media/image111.png"/><Relationship Id="rId110" Type="http://schemas.openxmlformats.org/officeDocument/2006/relationships/image" Target="media/image110.png"/><Relationship Id="rId11" Type="http://schemas.openxmlformats.org/officeDocument/2006/relationships/image" Target="media/image11.png"/><Relationship Id="rId109" Type="http://schemas.openxmlformats.org/officeDocument/2006/relationships/image" Target="media/image109.jpeg"/><Relationship Id="rId108" Type="http://schemas.openxmlformats.org/officeDocument/2006/relationships/image" Target="media/image108.png"/><Relationship Id="rId107" Type="http://schemas.openxmlformats.org/officeDocument/2006/relationships/image" Target="media/image107.png"/><Relationship Id="rId106" Type="http://schemas.openxmlformats.org/officeDocument/2006/relationships/image" Target="media/image106.png"/><Relationship Id="rId105" Type="http://schemas.openxmlformats.org/officeDocument/2006/relationships/image" Target="media/image105.png"/><Relationship Id="rId104" Type="http://schemas.openxmlformats.org/officeDocument/2006/relationships/image" Target="media/image104.png"/><Relationship Id="rId103" Type="http://schemas.openxmlformats.org/officeDocument/2006/relationships/image" Target="media/image103.png"/><Relationship Id="rId102" Type="http://schemas.openxmlformats.org/officeDocument/2006/relationships/image" Target="media/image102.png"/><Relationship Id="rId101" Type="http://schemas.openxmlformats.org/officeDocument/2006/relationships/image" Target="media/image101.png"/><Relationship Id="rId100" Type="http://schemas.openxmlformats.org/officeDocument/2006/relationships/image" Target="media/image100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70"/>
  <sheetViews>
    <sheetView tabSelected="1" topLeftCell="A165" workbookViewId="0">
      <selection activeCell="G170" sqref="G170:J170"/>
    </sheetView>
  </sheetViews>
  <sheetFormatPr defaultColWidth="9" defaultRowHeight="75" customHeight="1"/>
  <cols>
    <col min="1" max="1" width="7.625" style="1" customWidth="1"/>
    <col min="2" max="2" width="11.75" style="1" customWidth="1"/>
    <col min="3" max="3" width="19" style="1" customWidth="1"/>
    <col min="4" max="4" width="18.75" style="1" customWidth="1"/>
    <col min="5" max="5" width="17.375" style="3" customWidth="1"/>
    <col min="6" max="6" width="11.25" style="1" customWidth="1"/>
    <col min="7" max="7" width="7.375" style="1" customWidth="1"/>
    <col min="8" max="8" width="10.25" style="4" customWidth="1"/>
    <col min="9" max="9" width="10" style="1" customWidth="1"/>
    <col min="10" max="10" width="10.25" style="1" customWidth="1"/>
    <col min="11" max="16188" width="9" style="1" customWidth="1"/>
    <col min="16189" max="16384" width="9" style="5"/>
  </cols>
  <sheetData>
    <row r="1" s="1" customFormat="1" ht="33.95" customHeight="1" spans="1:10">
      <c r="A1" s="6" t="s">
        <v>0</v>
      </c>
      <c r="B1" s="7"/>
      <c r="C1" s="7"/>
      <c r="D1" s="7"/>
      <c r="E1" s="7"/>
      <c r="F1" s="7"/>
      <c r="G1" s="7"/>
      <c r="H1" s="8"/>
      <c r="I1" s="7"/>
      <c r="J1" s="7"/>
    </row>
    <row r="2" s="1" customFormat="1" ht="48.75" customHeight="1" spans="1:10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10" t="s">
        <v>7</v>
      </c>
      <c r="H2" s="11" t="s">
        <v>8</v>
      </c>
      <c r="I2" s="26" t="s">
        <v>9</v>
      </c>
      <c r="J2" s="27"/>
    </row>
    <row r="3" s="1" customFormat="1" ht="29.1" customHeight="1" spans="1:10">
      <c r="A3" s="9"/>
      <c r="B3" s="9"/>
      <c r="C3" s="9"/>
      <c r="D3" s="9"/>
      <c r="E3" s="9"/>
      <c r="F3" s="9"/>
      <c r="G3" s="10"/>
      <c r="H3" s="11"/>
      <c r="I3" s="9" t="s">
        <v>10</v>
      </c>
      <c r="J3" s="11" t="s">
        <v>11</v>
      </c>
    </row>
    <row r="4" s="1" customFormat="1" ht="108" spans="1:10">
      <c r="A4" s="12">
        <v>1</v>
      </c>
      <c r="B4" s="13" t="s">
        <v>12</v>
      </c>
      <c r="C4" s="14" t="s">
        <v>13</v>
      </c>
      <c r="D4" s="12" t="str">
        <f>_xlfn.DISPIMG("ID_7298EABE440C4F04A084589D1DD9D5BF",1)</f>
        <v>=DISPIMG("ID_7298EABE440C4F04A084589D1DD9D5BF",1)</v>
      </c>
      <c r="E4" s="15" t="s">
        <v>14</v>
      </c>
      <c r="F4" s="16" t="s">
        <v>15</v>
      </c>
      <c r="G4" s="17" t="s">
        <v>16</v>
      </c>
      <c r="H4" s="18">
        <v>20</v>
      </c>
      <c r="I4" s="28">
        <v>23</v>
      </c>
      <c r="J4" s="12">
        <f>I4*$H4</f>
        <v>460</v>
      </c>
    </row>
    <row r="5" s="1" customFormat="1" ht="108" spans="1:10">
      <c r="A5" s="12">
        <v>2</v>
      </c>
      <c r="B5" s="13" t="s">
        <v>17</v>
      </c>
      <c r="C5" s="14" t="s">
        <v>18</v>
      </c>
      <c r="D5" s="12" t="str">
        <f>_xlfn.DISPIMG("ID_8671289CE23E4810BB0D3FF52E34DE6B",1)</f>
        <v>=DISPIMG("ID_8671289CE23E4810BB0D3FF52E34DE6B",1)</v>
      </c>
      <c r="E5" s="15" t="s">
        <v>19</v>
      </c>
      <c r="F5" s="16" t="s">
        <v>15</v>
      </c>
      <c r="G5" s="17" t="s">
        <v>16</v>
      </c>
      <c r="H5" s="18">
        <v>8</v>
      </c>
      <c r="I5" s="28">
        <v>7</v>
      </c>
      <c r="J5" s="12">
        <f t="shared" ref="J5:J36" si="0">I5*$H5</f>
        <v>56</v>
      </c>
    </row>
    <row r="6" s="1" customFormat="1" ht="94.5" spans="1:10">
      <c r="A6" s="12">
        <v>3</v>
      </c>
      <c r="B6" s="12" t="s">
        <v>20</v>
      </c>
      <c r="C6" s="14" t="s">
        <v>21</v>
      </c>
      <c r="D6" s="12" t="str">
        <f>_xlfn.DISPIMG("ID_EB0040F2B09D40769BF179789C782317",1)</f>
        <v>=DISPIMG("ID_EB0040F2B09D40769BF179789C782317",1)</v>
      </c>
      <c r="E6" s="15" t="s">
        <v>22</v>
      </c>
      <c r="F6" s="16" t="s">
        <v>15</v>
      </c>
      <c r="G6" s="17" t="s">
        <v>23</v>
      </c>
      <c r="H6" s="18">
        <v>1</v>
      </c>
      <c r="I6" s="28">
        <v>80</v>
      </c>
      <c r="J6" s="12">
        <f t="shared" si="0"/>
        <v>80</v>
      </c>
    </row>
    <row r="7" s="1" customFormat="1" ht="148.5" spans="1:10">
      <c r="A7" s="12">
        <v>4</v>
      </c>
      <c r="B7" s="12" t="s">
        <v>24</v>
      </c>
      <c r="C7" s="14" t="s">
        <v>25</v>
      </c>
      <c r="D7" s="12" t="str">
        <f>_xlfn.DISPIMG("ID_489E801F51EA47C4B80A773D1A31A45B",1)</f>
        <v>=DISPIMG("ID_489E801F51EA47C4B80A773D1A31A45B",1)</v>
      </c>
      <c r="E7" s="15" t="s">
        <v>26</v>
      </c>
      <c r="F7" s="16" t="s">
        <v>27</v>
      </c>
      <c r="G7" s="17" t="s">
        <v>28</v>
      </c>
      <c r="H7" s="18">
        <v>180</v>
      </c>
      <c r="I7" s="28">
        <v>2</v>
      </c>
      <c r="J7" s="12">
        <f t="shared" si="0"/>
        <v>360</v>
      </c>
    </row>
    <row r="8" s="1" customFormat="1" ht="108" spans="1:10">
      <c r="A8" s="12">
        <v>5</v>
      </c>
      <c r="B8" s="13" t="s">
        <v>29</v>
      </c>
      <c r="C8" s="14" t="s">
        <v>30</v>
      </c>
      <c r="D8" s="12" t="str">
        <f>_xlfn.DISPIMG("ID_9E3505F091734C5CBD09162A33D888A2",1)</f>
        <v>=DISPIMG("ID_9E3505F091734C5CBD09162A33D888A2",1)</v>
      </c>
      <c r="E8" s="15" t="s">
        <v>31</v>
      </c>
      <c r="F8" s="16" t="s">
        <v>15</v>
      </c>
      <c r="G8" s="17" t="s">
        <v>32</v>
      </c>
      <c r="H8" s="18">
        <v>7</v>
      </c>
      <c r="I8" s="28">
        <v>54</v>
      </c>
      <c r="J8" s="12">
        <f t="shared" si="0"/>
        <v>378</v>
      </c>
    </row>
    <row r="9" s="1" customFormat="1" ht="108" spans="1:10">
      <c r="A9" s="12">
        <v>6</v>
      </c>
      <c r="B9" s="13" t="s">
        <v>33</v>
      </c>
      <c r="C9" s="14" t="s">
        <v>34</v>
      </c>
      <c r="D9" s="12" t="str">
        <f>_xlfn.DISPIMG("ID_8D858BA9BA8C439AA16B11DFABF81A20",1)</f>
        <v>=DISPIMG("ID_8D858BA9BA8C439AA16B11DFABF81A20",1)</v>
      </c>
      <c r="E9" s="15" t="s">
        <v>35</v>
      </c>
      <c r="F9" s="16" t="s">
        <v>15</v>
      </c>
      <c r="G9" s="19" t="s">
        <v>16</v>
      </c>
      <c r="H9" s="18">
        <v>11</v>
      </c>
      <c r="I9" s="28">
        <v>50</v>
      </c>
      <c r="J9" s="12">
        <f t="shared" si="0"/>
        <v>550</v>
      </c>
    </row>
    <row r="10" s="1" customFormat="1" ht="121.5" spans="1:10">
      <c r="A10" s="12">
        <v>7</v>
      </c>
      <c r="B10" s="20" t="s">
        <v>36</v>
      </c>
      <c r="C10" s="14" t="s">
        <v>37</v>
      </c>
      <c r="D10" s="12" t="str">
        <f>_xlfn.DISPIMG("ID_1DF5D239722E44FD9C0866772E790DA8",1)</f>
        <v>=DISPIMG("ID_1DF5D239722E44FD9C0866772E790DA8",1)</v>
      </c>
      <c r="E10" s="15" t="s">
        <v>38</v>
      </c>
      <c r="F10" s="16" t="s">
        <v>15</v>
      </c>
      <c r="G10" s="19" t="s">
        <v>32</v>
      </c>
      <c r="H10" s="18">
        <v>4</v>
      </c>
      <c r="I10" s="28">
        <v>50</v>
      </c>
      <c r="J10" s="12">
        <f t="shared" si="0"/>
        <v>200</v>
      </c>
    </row>
    <row r="11" s="1" customFormat="1" ht="108" spans="1:10">
      <c r="A11" s="12">
        <v>8</v>
      </c>
      <c r="B11" s="20" t="s">
        <v>39</v>
      </c>
      <c r="C11" s="14" t="s">
        <v>40</v>
      </c>
      <c r="D11" s="12" t="str">
        <f>_xlfn.DISPIMG("ID_B8D56006DCB044E5A052B9C0CF77D500",1)</f>
        <v>=DISPIMG("ID_B8D56006DCB044E5A052B9C0CF77D500",1)</v>
      </c>
      <c r="E11" s="15" t="s">
        <v>41</v>
      </c>
      <c r="F11" s="16" t="s">
        <v>27</v>
      </c>
      <c r="G11" s="19" t="s">
        <v>42</v>
      </c>
      <c r="H11" s="21">
        <v>60</v>
      </c>
      <c r="I11" s="28">
        <v>0</v>
      </c>
      <c r="J11" s="12">
        <f t="shared" si="0"/>
        <v>0</v>
      </c>
    </row>
    <row r="12" s="1" customFormat="1" ht="94.5" spans="1:10">
      <c r="A12" s="12">
        <v>9</v>
      </c>
      <c r="B12" s="12" t="s">
        <v>43</v>
      </c>
      <c r="C12" s="14" t="s">
        <v>44</v>
      </c>
      <c r="D12" s="12" t="str">
        <f>_xlfn.DISPIMG("ID_5FED48BAAC4A47198AE40B8CA0FC7C3D",1)</f>
        <v>=DISPIMG("ID_5FED48BAAC4A47198AE40B8CA0FC7C3D",1)</v>
      </c>
      <c r="E12" s="15" t="s">
        <v>45</v>
      </c>
      <c r="F12" s="16" t="s">
        <v>27</v>
      </c>
      <c r="G12" s="19" t="s">
        <v>32</v>
      </c>
      <c r="H12" s="21">
        <v>5</v>
      </c>
      <c r="I12" s="28">
        <v>20</v>
      </c>
      <c r="J12" s="12">
        <f t="shared" si="0"/>
        <v>100</v>
      </c>
    </row>
    <row r="13" s="1" customFormat="1" ht="94.5" spans="1:10">
      <c r="A13" s="12">
        <v>10</v>
      </c>
      <c r="B13" s="12" t="s">
        <v>43</v>
      </c>
      <c r="C13" s="14" t="s">
        <v>46</v>
      </c>
      <c r="D13" s="12" t="str">
        <f>_xlfn.DISPIMG("ID_56E318A6080043ED957E37EE43312C97",1)</f>
        <v>=DISPIMG("ID_56E318A6080043ED957E37EE43312C97",1)</v>
      </c>
      <c r="E13" s="15" t="s">
        <v>47</v>
      </c>
      <c r="F13" s="16" t="s">
        <v>27</v>
      </c>
      <c r="G13" s="19" t="s">
        <v>32</v>
      </c>
      <c r="H13" s="21">
        <v>5.5</v>
      </c>
      <c r="I13" s="28">
        <v>70</v>
      </c>
      <c r="J13" s="12">
        <f t="shared" si="0"/>
        <v>385</v>
      </c>
    </row>
    <row r="14" s="1" customFormat="1" ht="81" spans="1:10">
      <c r="A14" s="12">
        <v>11</v>
      </c>
      <c r="B14" s="12" t="s">
        <v>48</v>
      </c>
      <c r="C14" s="14" t="s">
        <v>49</v>
      </c>
      <c r="D14" s="12" t="str">
        <f>_xlfn.DISPIMG("ID_D86C671C02B24E68A7FE7E8BA7EA26D4",1)</f>
        <v>=DISPIMG("ID_D86C671C02B24E68A7FE7E8BA7EA26D4",1)</v>
      </c>
      <c r="E14" s="15" t="s">
        <v>50</v>
      </c>
      <c r="F14" s="16" t="s">
        <v>27</v>
      </c>
      <c r="G14" s="19" t="s">
        <v>51</v>
      </c>
      <c r="H14" s="21">
        <v>25</v>
      </c>
      <c r="I14" s="28">
        <v>13</v>
      </c>
      <c r="J14" s="12">
        <f t="shared" si="0"/>
        <v>325</v>
      </c>
    </row>
    <row r="15" s="1" customFormat="1" ht="81" spans="1:10">
      <c r="A15" s="12">
        <v>12</v>
      </c>
      <c r="B15" s="12" t="s">
        <v>48</v>
      </c>
      <c r="C15" s="14" t="s">
        <v>52</v>
      </c>
      <c r="D15" s="12" t="str">
        <f>_xlfn.DISPIMG("ID_2A72D2E482F34B46A28A32C1E647D365",1)</f>
        <v>=DISPIMG("ID_2A72D2E482F34B46A28A32C1E647D365",1)</v>
      </c>
      <c r="E15" s="15" t="s">
        <v>53</v>
      </c>
      <c r="F15" s="16" t="s">
        <v>27</v>
      </c>
      <c r="G15" s="19" t="s">
        <v>51</v>
      </c>
      <c r="H15" s="21">
        <v>45</v>
      </c>
      <c r="I15" s="28">
        <v>1</v>
      </c>
      <c r="J15" s="12">
        <f t="shared" si="0"/>
        <v>45</v>
      </c>
    </row>
    <row r="16" s="1" customFormat="1" ht="72.05" spans="1:10">
      <c r="A16" s="12">
        <v>13</v>
      </c>
      <c r="B16" s="12" t="s">
        <v>54</v>
      </c>
      <c r="C16" s="14" t="s">
        <v>55</v>
      </c>
      <c r="D16" s="12" t="str">
        <f>_xlfn.DISPIMG("ID_2DBA82C86BF64FFD9BE9149F57138188",1)</f>
        <v>=DISPIMG("ID_2DBA82C86BF64FFD9BE9149F57138188",1)</v>
      </c>
      <c r="E16" s="15" t="s">
        <v>56</v>
      </c>
      <c r="F16" s="16" t="s">
        <v>27</v>
      </c>
      <c r="G16" s="19" t="s">
        <v>32</v>
      </c>
      <c r="H16" s="21">
        <v>0.6</v>
      </c>
      <c r="I16" s="28">
        <v>251</v>
      </c>
      <c r="J16" s="12">
        <f t="shared" si="0"/>
        <v>150.6</v>
      </c>
    </row>
    <row r="17" s="1" customFormat="1" ht="72.05" spans="1:10">
      <c r="A17" s="12">
        <v>14</v>
      </c>
      <c r="B17" s="12" t="s">
        <v>54</v>
      </c>
      <c r="C17" s="14" t="s">
        <v>57</v>
      </c>
      <c r="D17" s="12" t="str">
        <f>_xlfn.DISPIMG("ID_CDC77EF19EB441FF998984FE9DF0E807",1)</f>
        <v>=DISPIMG("ID_CDC77EF19EB441FF998984FE9DF0E807",1)</v>
      </c>
      <c r="E17" s="15" t="s">
        <v>58</v>
      </c>
      <c r="F17" s="16" t="s">
        <v>27</v>
      </c>
      <c r="G17" s="19" t="s">
        <v>32</v>
      </c>
      <c r="H17" s="21">
        <v>1</v>
      </c>
      <c r="I17" s="28">
        <v>359</v>
      </c>
      <c r="J17" s="12">
        <f t="shared" si="0"/>
        <v>359</v>
      </c>
    </row>
    <row r="18" s="1" customFormat="1" ht="69.75" spans="1:10">
      <c r="A18" s="12">
        <v>15</v>
      </c>
      <c r="B18" s="12" t="s">
        <v>54</v>
      </c>
      <c r="C18" s="14" t="s">
        <v>59</v>
      </c>
      <c r="D18" s="12" t="str">
        <f>_xlfn.DISPIMG("ID_82293D40C06D4CED8F8246239B3360B1",1)</f>
        <v>=DISPIMG("ID_82293D40C06D4CED8F8246239B3360B1",1)</v>
      </c>
      <c r="E18" s="15" t="s">
        <v>60</v>
      </c>
      <c r="F18" s="16" t="s">
        <v>27</v>
      </c>
      <c r="G18" s="19" t="s">
        <v>32</v>
      </c>
      <c r="H18" s="21">
        <v>1.5</v>
      </c>
      <c r="I18" s="28">
        <v>123</v>
      </c>
      <c r="J18" s="12">
        <f t="shared" si="0"/>
        <v>184.5</v>
      </c>
    </row>
    <row r="19" s="1" customFormat="1" ht="72.1" spans="1:10">
      <c r="A19" s="12">
        <v>16</v>
      </c>
      <c r="B19" s="12" t="s">
        <v>61</v>
      </c>
      <c r="C19" s="14" t="s">
        <v>62</v>
      </c>
      <c r="D19" s="12" t="str">
        <f>_xlfn.DISPIMG("ID_BBE056A104C741249C03B344BB3B7BD2",1)</f>
        <v>=DISPIMG("ID_BBE056A104C741249C03B344BB3B7BD2",1)</v>
      </c>
      <c r="E19" s="15" t="s">
        <v>63</v>
      </c>
      <c r="F19" s="16" t="s">
        <v>27</v>
      </c>
      <c r="G19" s="19" t="s">
        <v>42</v>
      </c>
      <c r="H19" s="21">
        <v>7</v>
      </c>
      <c r="I19" s="28">
        <v>5</v>
      </c>
      <c r="J19" s="12">
        <f t="shared" si="0"/>
        <v>35</v>
      </c>
    </row>
    <row r="20" s="1" customFormat="1" ht="69.8" spans="1:10">
      <c r="A20" s="12">
        <v>17</v>
      </c>
      <c r="B20" s="12" t="s">
        <v>61</v>
      </c>
      <c r="C20" s="14" t="s">
        <v>64</v>
      </c>
      <c r="D20" s="12" t="str">
        <f>_xlfn.DISPIMG("ID_73D377A599874827A2267D8BEFCEEF39",1)</f>
        <v>=DISPIMG("ID_73D377A599874827A2267D8BEFCEEF39",1)</v>
      </c>
      <c r="E20" s="15" t="s">
        <v>65</v>
      </c>
      <c r="F20" s="16" t="s">
        <v>27</v>
      </c>
      <c r="G20" s="19" t="s">
        <v>42</v>
      </c>
      <c r="H20" s="21">
        <v>10</v>
      </c>
      <c r="I20" s="28">
        <v>14</v>
      </c>
      <c r="J20" s="12">
        <f t="shared" si="0"/>
        <v>140</v>
      </c>
    </row>
    <row r="21" s="1" customFormat="1" ht="61.55" spans="1:10">
      <c r="A21" s="12">
        <v>18</v>
      </c>
      <c r="B21" s="12" t="s">
        <v>61</v>
      </c>
      <c r="C21" s="14" t="s">
        <v>66</v>
      </c>
      <c r="D21" s="12" t="str">
        <f>_xlfn.DISPIMG("ID_227980E7FD1448E0B5C07127E42161D2",1)</f>
        <v>=DISPIMG("ID_227980E7FD1448E0B5C07127E42161D2",1)</v>
      </c>
      <c r="E21" s="15" t="s">
        <v>67</v>
      </c>
      <c r="F21" s="16" t="s">
        <v>27</v>
      </c>
      <c r="G21" s="19" t="s">
        <v>42</v>
      </c>
      <c r="H21" s="21">
        <v>7</v>
      </c>
      <c r="I21" s="28">
        <v>14</v>
      </c>
      <c r="J21" s="12">
        <f t="shared" si="0"/>
        <v>98</v>
      </c>
    </row>
    <row r="22" s="1" customFormat="1" ht="67.5" spans="1:10">
      <c r="A22" s="12">
        <v>19</v>
      </c>
      <c r="B22" s="12" t="s">
        <v>68</v>
      </c>
      <c r="C22" s="14" t="s">
        <v>69</v>
      </c>
      <c r="D22" s="12" t="str">
        <f>_xlfn.DISPIMG("ID_D8180FFDCC294A66ADE22F7A52CFE5DF",1)</f>
        <v>=DISPIMG("ID_D8180FFDCC294A66ADE22F7A52CFE5DF",1)</v>
      </c>
      <c r="E22" s="15" t="s">
        <v>70</v>
      </c>
      <c r="F22" s="16" t="s">
        <v>27</v>
      </c>
      <c r="G22" s="19" t="s">
        <v>42</v>
      </c>
      <c r="H22" s="21">
        <v>3.5</v>
      </c>
      <c r="I22" s="28">
        <v>12</v>
      </c>
      <c r="J22" s="12">
        <f t="shared" si="0"/>
        <v>42</v>
      </c>
    </row>
    <row r="23" s="1" customFormat="1" ht="70.55" spans="1:10">
      <c r="A23" s="12">
        <v>20</v>
      </c>
      <c r="B23" s="12" t="s">
        <v>71</v>
      </c>
      <c r="C23" s="14" t="s">
        <v>72</v>
      </c>
      <c r="D23" s="12" t="str">
        <f>_xlfn.DISPIMG("ID_E072CCA4C10A44B9AD11A7B71AC96C34",1)</f>
        <v>=DISPIMG("ID_E072CCA4C10A44B9AD11A7B71AC96C34",1)</v>
      </c>
      <c r="E23" s="15" t="s">
        <v>73</v>
      </c>
      <c r="F23" s="16" t="s">
        <v>27</v>
      </c>
      <c r="G23" s="19" t="s">
        <v>42</v>
      </c>
      <c r="H23" s="21">
        <v>4</v>
      </c>
      <c r="I23" s="28">
        <v>1</v>
      </c>
      <c r="J23" s="12">
        <f t="shared" si="0"/>
        <v>4</v>
      </c>
    </row>
    <row r="24" s="1" customFormat="1" ht="94.5" spans="1:10">
      <c r="A24" s="12">
        <v>21</v>
      </c>
      <c r="B24" s="12" t="s">
        <v>74</v>
      </c>
      <c r="C24" s="14" t="s">
        <v>75</v>
      </c>
      <c r="D24" s="12" t="str">
        <f>_xlfn.DISPIMG("ID_211A08C25E2D4E03B574F62097DDAE5A",1)</f>
        <v>=DISPIMG("ID_211A08C25E2D4E03B574F62097DDAE5A",1)</v>
      </c>
      <c r="E24" s="15" t="s">
        <v>76</v>
      </c>
      <c r="F24" s="16" t="s">
        <v>27</v>
      </c>
      <c r="G24" s="22" t="s">
        <v>16</v>
      </c>
      <c r="H24" s="21">
        <v>3</v>
      </c>
      <c r="I24" s="28">
        <v>67</v>
      </c>
      <c r="J24" s="12">
        <f t="shared" si="0"/>
        <v>201</v>
      </c>
    </row>
    <row r="25" s="1" customFormat="1" ht="81" spans="1:10">
      <c r="A25" s="12">
        <v>22</v>
      </c>
      <c r="B25" s="12" t="s">
        <v>74</v>
      </c>
      <c r="C25" s="14" t="s">
        <v>77</v>
      </c>
      <c r="D25" s="12" t="str">
        <f>_xlfn.DISPIMG("ID_235751DA1F1247708BB0BFAC6A2DDC36",1)</f>
        <v>=DISPIMG("ID_235751DA1F1247708BB0BFAC6A2DDC36",1)</v>
      </c>
      <c r="E25" s="15" t="s">
        <v>78</v>
      </c>
      <c r="F25" s="16" t="s">
        <v>27</v>
      </c>
      <c r="G25" s="22" t="s">
        <v>16</v>
      </c>
      <c r="H25" s="21">
        <v>4</v>
      </c>
      <c r="I25" s="28">
        <v>10</v>
      </c>
      <c r="J25" s="12">
        <f t="shared" si="0"/>
        <v>40</v>
      </c>
    </row>
    <row r="26" s="1" customFormat="1" ht="69.8" spans="1:10">
      <c r="A26" s="12">
        <v>23</v>
      </c>
      <c r="B26" s="12" t="s">
        <v>79</v>
      </c>
      <c r="C26" s="14" t="s">
        <v>80</v>
      </c>
      <c r="D26" s="12" t="str">
        <f>_xlfn.DISPIMG("ID_07116A6A43034615B9CA236663F92A63",1)</f>
        <v>=DISPIMG("ID_07116A6A43034615B9CA236663F92A63",1)</v>
      </c>
      <c r="E26" s="15" t="s">
        <v>81</v>
      </c>
      <c r="F26" s="16" t="s">
        <v>27</v>
      </c>
      <c r="G26" s="22" t="s">
        <v>32</v>
      </c>
      <c r="H26" s="21">
        <v>11</v>
      </c>
      <c r="I26" s="28">
        <v>16</v>
      </c>
      <c r="J26" s="12">
        <f t="shared" si="0"/>
        <v>176</v>
      </c>
    </row>
    <row r="27" s="1" customFormat="1" ht="68.35" spans="1:10">
      <c r="A27" s="12">
        <v>24</v>
      </c>
      <c r="B27" s="12" t="s">
        <v>82</v>
      </c>
      <c r="C27" s="14" t="s">
        <v>83</v>
      </c>
      <c r="D27" s="12" t="str">
        <f>_xlfn.DISPIMG("ID_6B5683436C2742CFAAB561B263F54A2D",1)</f>
        <v>=DISPIMG("ID_6B5683436C2742CFAAB561B263F54A2D",1)</v>
      </c>
      <c r="E27" s="15" t="s">
        <v>84</v>
      </c>
      <c r="F27" s="16" t="s">
        <v>27</v>
      </c>
      <c r="G27" s="22" t="s">
        <v>32</v>
      </c>
      <c r="H27" s="21">
        <v>56</v>
      </c>
      <c r="I27" s="28">
        <v>0</v>
      </c>
      <c r="J27" s="12">
        <f t="shared" si="0"/>
        <v>0</v>
      </c>
    </row>
    <row r="28" s="1" customFormat="1" ht="108" spans="1:10">
      <c r="A28" s="12">
        <v>25</v>
      </c>
      <c r="B28" s="12" t="s">
        <v>85</v>
      </c>
      <c r="C28" s="14" t="s">
        <v>86</v>
      </c>
      <c r="D28" s="12" t="str">
        <f>_xlfn.DISPIMG("ID_DF406AA7CE154A62A096332BA83CE519",1)</f>
        <v>=DISPIMG("ID_DF406AA7CE154A62A096332BA83CE519",1)</v>
      </c>
      <c r="E28" s="15" t="s">
        <v>87</v>
      </c>
      <c r="F28" s="16" t="s">
        <v>27</v>
      </c>
      <c r="G28" s="22" t="s">
        <v>32</v>
      </c>
      <c r="H28" s="21">
        <v>35</v>
      </c>
      <c r="I28" s="28">
        <v>0</v>
      </c>
      <c r="J28" s="12">
        <f t="shared" si="0"/>
        <v>0</v>
      </c>
    </row>
    <row r="29" s="1" customFormat="1" ht="81" spans="1:10">
      <c r="A29" s="12">
        <v>26</v>
      </c>
      <c r="B29" s="12" t="s">
        <v>88</v>
      </c>
      <c r="C29" s="14" t="s">
        <v>89</v>
      </c>
      <c r="D29" s="12" t="str">
        <f>_xlfn.DISPIMG("ID_E049828997C2428D8F877DE037DB1EF4",1)</f>
        <v>=DISPIMG("ID_E049828997C2428D8F877DE037DB1EF4",1)</v>
      </c>
      <c r="E29" s="15" t="s">
        <v>90</v>
      </c>
      <c r="F29" s="16" t="s">
        <v>27</v>
      </c>
      <c r="G29" s="22" t="s">
        <v>32</v>
      </c>
      <c r="H29" s="21">
        <v>8</v>
      </c>
      <c r="I29" s="28">
        <v>6</v>
      </c>
      <c r="J29" s="12">
        <f t="shared" si="0"/>
        <v>48</v>
      </c>
    </row>
    <row r="30" s="1" customFormat="1" ht="81" spans="1:10">
      <c r="A30" s="12">
        <v>27</v>
      </c>
      <c r="B30" s="12" t="s">
        <v>91</v>
      </c>
      <c r="C30" s="14" t="s">
        <v>92</v>
      </c>
      <c r="D30" s="12" t="str">
        <f>_xlfn.DISPIMG("ID_A7EBA29BFE9A410B81A3869C10B7B83B",1)</f>
        <v>=DISPIMG("ID_A7EBA29BFE9A410B81A3869C10B7B83B",1)</v>
      </c>
      <c r="E30" s="15" t="s">
        <v>93</v>
      </c>
      <c r="F30" s="16" t="s">
        <v>27</v>
      </c>
      <c r="G30" s="22" t="s">
        <v>32</v>
      </c>
      <c r="H30" s="21">
        <v>3.5</v>
      </c>
      <c r="I30" s="28">
        <v>14</v>
      </c>
      <c r="J30" s="12">
        <f t="shared" si="0"/>
        <v>49</v>
      </c>
    </row>
    <row r="31" s="1" customFormat="1" ht="67.5" spans="1:10">
      <c r="A31" s="12">
        <v>28</v>
      </c>
      <c r="B31" s="12" t="s">
        <v>94</v>
      </c>
      <c r="C31" s="14" t="s">
        <v>95</v>
      </c>
      <c r="D31" s="12" t="str">
        <f>_xlfn.DISPIMG("ID_DC6560B90965499DA122773AA73B4FC4",1)</f>
        <v>=DISPIMG("ID_DC6560B90965499DA122773AA73B4FC4",1)</v>
      </c>
      <c r="E31" s="15" t="s">
        <v>96</v>
      </c>
      <c r="F31" s="16" t="s">
        <v>27</v>
      </c>
      <c r="G31" s="22" t="s">
        <v>97</v>
      </c>
      <c r="H31" s="21">
        <v>1.5</v>
      </c>
      <c r="I31" s="28">
        <v>70</v>
      </c>
      <c r="J31" s="12">
        <f t="shared" si="0"/>
        <v>105</v>
      </c>
    </row>
    <row r="32" s="1" customFormat="1" ht="81" spans="1:10">
      <c r="A32" s="12">
        <v>29</v>
      </c>
      <c r="B32" s="12" t="s">
        <v>98</v>
      </c>
      <c r="C32" s="14" t="s">
        <v>99</v>
      </c>
      <c r="D32" s="12" t="str">
        <f>_xlfn.DISPIMG("ID_5C04EA39FAE5424DB726B7711264F662",1)</f>
        <v>=DISPIMG("ID_5C04EA39FAE5424DB726B7711264F662",1)</v>
      </c>
      <c r="E32" s="15" t="s">
        <v>100</v>
      </c>
      <c r="F32" s="16" t="s">
        <v>27</v>
      </c>
      <c r="G32" s="22" t="s">
        <v>101</v>
      </c>
      <c r="H32" s="21">
        <v>2.5</v>
      </c>
      <c r="I32" s="28">
        <v>154</v>
      </c>
      <c r="J32" s="12">
        <f t="shared" si="0"/>
        <v>385</v>
      </c>
    </row>
    <row r="33" s="1" customFormat="1" ht="108" spans="1:10">
      <c r="A33" s="12">
        <v>30</v>
      </c>
      <c r="B33" s="12" t="s">
        <v>102</v>
      </c>
      <c r="C33" s="14" t="s">
        <v>103</v>
      </c>
      <c r="D33" s="12" t="str">
        <f>_xlfn.DISPIMG("ID_FB266625B48445E8963795B2C455FBAB",1)</f>
        <v>=DISPIMG("ID_FB266625B48445E8963795B2C455FBAB",1)</v>
      </c>
      <c r="E33" s="15" t="s">
        <v>104</v>
      </c>
      <c r="F33" s="16" t="s">
        <v>27</v>
      </c>
      <c r="G33" s="22" t="s">
        <v>105</v>
      </c>
      <c r="H33" s="21">
        <v>2</v>
      </c>
      <c r="I33" s="28">
        <v>63</v>
      </c>
      <c r="J33" s="12">
        <f t="shared" si="0"/>
        <v>126</v>
      </c>
    </row>
    <row r="34" s="1" customFormat="1" ht="81" spans="1:10">
      <c r="A34" s="12">
        <v>31</v>
      </c>
      <c r="B34" s="12" t="s">
        <v>106</v>
      </c>
      <c r="C34" s="14" t="s">
        <v>107</v>
      </c>
      <c r="D34" s="12" t="str">
        <f>_xlfn.DISPIMG("ID_CDFB4ED9641A456196ABC4D0769DC19D",1)</f>
        <v>=DISPIMG("ID_CDFB4ED9641A456196ABC4D0769DC19D",1)</v>
      </c>
      <c r="E34" s="15" t="s">
        <v>108</v>
      </c>
      <c r="F34" s="16" t="s">
        <v>27</v>
      </c>
      <c r="G34" s="22" t="s">
        <v>105</v>
      </c>
      <c r="H34" s="21">
        <v>8</v>
      </c>
      <c r="I34" s="28">
        <v>82</v>
      </c>
      <c r="J34" s="12">
        <f t="shared" si="0"/>
        <v>656</v>
      </c>
    </row>
    <row r="35" s="1" customFormat="1" ht="108" spans="1:10">
      <c r="A35" s="12">
        <v>32</v>
      </c>
      <c r="B35" s="12" t="s">
        <v>109</v>
      </c>
      <c r="C35" s="14" t="s">
        <v>110</v>
      </c>
      <c r="D35" s="12" t="str">
        <f>_xlfn.DISPIMG("ID_75CE043AF08B4DCC8C6C6EE10F14AC3E",1)</f>
        <v>=DISPIMG("ID_75CE043AF08B4DCC8C6C6EE10F14AC3E",1)</v>
      </c>
      <c r="E35" s="15" t="s">
        <v>111</v>
      </c>
      <c r="F35" s="16" t="s">
        <v>27</v>
      </c>
      <c r="G35" s="22" t="s">
        <v>32</v>
      </c>
      <c r="H35" s="21">
        <v>3</v>
      </c>
      <c r="I35" s="28">
        <v>40</v>
      </c>
      <c r="J35" s="12">
        <f t="shared" si="0"/>
        <v>120</v>
      </c>
    </row>
    <row r="36" s="1" customFormat="1" ht="81" spans="1:10">
      <c r="A36" s="12">
        <v>33</v>
      </c>
      <c r="B36" s="12" t="s">
        <v>112</v>
      </c>
      <c r="C36" s="14" t="s">
        <v>113</v>
      </c>
      <c r="D36" s="12" t="str">
        <f>_xlfn.DISPIMG("ID_C0FA58FDFEA94B3E812D8A6675DFB5A4",1)</f>
        <v>=DISPIMG("ID_C0FA58FDFEA94B3E812D8A6675DFB5A4",1)</v>
      </c>
      <c r="E36" s="15" t="s">
        <v>114</v>
      </c>
      <c r="F36" s="16" t="s">
        <v>27</v>
      </c>
      <c r="G36" s="22" t="s">
        <v>51</v>
      </c>
      <c r="H36" s="21">
        <v>2</v>
      </c>
      <c r="I36" s="28">
        <v>7</v>
      </c>
      <c r="J36" s="12">
        <f t="shared" si="0"/>
        <v>14</v>
      </c>
    </row>
    <row r="37" s="1" customFormat="1" ht="72.8" spans="1:10">
      <c r="A37" s="12">
        <v>34</v>
      </c>
      <c r="B37" s="12" t="s">
        <v>115</v>
      </c>
      <c r="C37" s="14" t="s">
        <v>116</v>
      </c>
      <c r="D37" s="12" t="str">
        <f>_xlfn.DISPIMG("ID_6319FA23C3CB4D7DBA89CB0D348D7AFC",1)</f>
        <v>=DISPIMG("ID_6319FA23C3CB4D7DBA89CB0D348D7AFC",1)</v>
      </c>
      <c r="E37" s="15" t="s">
        <v>117</v>
      </c>
      <c r="F37" s="16" t="s">
        <v>15</v>
      </c>
      <c r="G37" s="22" t="s">
        <v>118</v>
      </c>
      <c r="H37" s="21">
        <v>1.5</v>
      </c>
      <c r="I37" s="28">
        <v>102</v>
      </c>
      <c r="J37" s="12">
        <f t="shared" ref="J37:J68" si="1">I37*$H37</f>
        <v>153</v>
      </c>
    </row>
    <row r="38" s="1" customFormat="1" ht="81" spans="1:10">
      <c r="A38" s="12">
        <v>35</v>
      </c>
      <c r="B38" s="13" t="s">
        <v>119</v>
      </c>
      <c r="C38" s="14" t="s">
        <v>120</v>
      </c>
      <c r="D38" s="12" t="str">
        <f>_xlfn.DISPIMG("ID_509DB51DDB5641F79052BD2FC0A2BAD6",1)</f>
        <v>=DISPIMG("ID_509DB51DDB5641F79052BD2FC0A2BAD6",1)</v>
      </c>
      <c r="E38" s="15" t="s">
        <v>121</v>
      </c>
      <c r="F38" s="16" t="s">
        <v>27</v>
      </c>
      <c r="G38" s="17" t="s">
        <v>118</v>
      </c>
      <c r="H38" s="18">
        <v>5</v>
      </c>
      <c r="I38" s="28">
        <v>35</v>
      </c>
      <c r="J38" s="12">
        <f t="shared" si="1"/>
        <v>175</v>
      </c>
    </row>
    <row r="39" s="1" customFormat="1" ht="94.5" spans="1:10">
      <c r="A39" s="12">
        <v>36</v>
      </c>
      <c r="B39" s="23" t="s">
        <v>122</v>
      </c>
      <c r="C39" s="14" t="s">
        <v>123</v>
      </c>
      <c r="D39" s="12" t="str">
        <f>_xlfn.DISPIMG("ID_6EE00EC91AF8438E8498312787896942",1)</f>
        <v>=DISPIMG("ID_6EE00EC91AF8438E8498312787896942",1)</v>
      </c>
      <c r="E39" s="15" t="s">
        <v>124</v>
      </c>
      <c r="F39" s="16" t="s">
        <v>125</v>
      </c>
      <c r="G39" s="19" t="s">
        <v>97</v>
      </c>
      <c r="H39" s="18">
        <v>16</v>
      </c>
      <c r="I39" s="28">
        <v>195</v>
      </c>
      <c r="J39" s="12">
        <f t="shared" si="1"/>
        <v>3120</v>
      </c>
    </row>
    <row r="40" s="1" customFormat="1" ht="121.5" spans="1:10">
      <c r="A40" s="12">
        <v>37</v>
      </c>
      <c r="B40" s="23" t="s">
        <v>126</v>
      </c>
      <c r="C40" s="14" t="s">
        <v>127</v>
      </c>
      <c r="D40" s="12" t="str">
        <f>_xlfn.DISPIMG("ID_D83F7F8B3F7D4887BE0B8A0B83EF8775",1)</f>
        <v>=DISPIMG("ID_D83F7F8B3F7D4887BE0B8A0B83EF8775",1)</v>
      </c>
      <c r="E40" s="15" t="s">
        <v>128</v>
      </c>
      <c r="F40" s="16" t="s">
        <v>125</v>
      </c>
      <c r="G40" s="19" t="s">
        <v>97</v>
      </c>
      <c r="H40" s="18">
        <v>16</v>
      </c>
      <c r="I40" s="28">
        <v>14</v>
      </c>
      <c r="J40" s="12">
        <f t="shared" si="1"/>
        <v>224</v>
      </c>
    </row>
    <row r="41" s="1" customFormat="1" ht="81" spans="1:10">
      <c r="A41" s="12">
        <v>38</v>
      </c>
      <c r="B41" s="20" t="s">
        <v>129</v>
      </c>
      <c r="C41" s="14" t="s">
        <v>130</v>
      </c>
      <c r="D41" s="12" t="str">
        <f>_xlfn.DISPIMG("ID_3C66A8A0C9AB437D80E6AFF59361292C",1)</f>
        <v>=DISPIMG("ID_3C66A8A0C9AB437D80E6AFF59361292C",1)</v>
      </c>
      <c r="E41" s="15" t="s">
        <v>131</v>
      </c>
      <c r="F41" s="16" t="s">
        <v>125</v>
      </c>
      <c r="G41" s="19" t="s">
        <v>132</v>
      </c>
      <c r="H41" s="18">
        <v>3.5</v>
      </c>
      <c r="I41" s="28">
        <v>73</v>
      </c>
      <c r="J41" s="12">
        <f t="shared" si="1"/>
        <v>255.5</v>
      </c>
    </row>
    <row r="42" s="1" customFormat="1" ht="108" spans="1:10">
      <c r="A42" s="12">
        <v>39</v>
      </c>
      <c r="B42" s="20" t="s">
        <v>133</v>
      </c>
      <c r="C42" s="14" t="s">
        <v>134</v>
      </c>
      <c r="D42" s="14" t="str">
        <f>_xlfn.DISPIMG("ID_28A5362A7C6240569DEC2A2D3E7268B7",1)</f>
        <v>=DISPIMG("ID_28A5362A7C6240569DEC2A2D3E7268B7",1)</v>
      </c>
      <c r="E42" s="15" t="s">
        <v>135</v>
      </c>
      <c r="F42" s="16" t="s">
        <v>27</v>
      </c>
      <c r="G42" s="19" t="s">
        <v>136</v>
      </c>
      <c r="H42" s="18">
        <v>170</v>
      </c>
      <c r="I42" s="28">
        <v>26</v>
      </c>
      <c r="J42" s="12">
        <f t="shared" si="1"/>
        <v>4420</v>
      </c>
    </row>
    <row r="43" s="1" customFormat="1" ht="108" spans="1:10">
      <c r="A43" s="12">
        <v>40</v>
      </c>
      <c r="B43" s="20" t="s">
        <v>133</v>
      </c>
      <c r="C43" s="14" t="s">
        <v>137</v>
      </c>
      <c r="D43" s="14" t="str">
        <f>_xlfn.DISPIMG("ID_28A5362A7C6240569DEC2A2D3E7268B7",1)</f>
        <v>=DISPIMG("ID_28A5362A7C6240569DEC2A2D3E7268B7",1)</v>
      </c>
      <c r="E43" s="15" t="s">
        <v>138</v>
      </c>
      <c r="F43" s="16" t="s">
        <v>27</v>
      </c>
      <c r="G43" s="19" t="s">
        <v>136</v>
      </c>
      <c r="H43" s="18">
        <v>170</v>
      </c>
      <c r="I43" s="28">
        <v>30</v>
      </c>
      <c r="J43" s="12">
        <f t="shared" si="1"/>
        <v>5100</v>
      </c>
    </row>
    <row r="44" s="1" customFormat="1" ht="108" spans="1:10">
      <c r="A44" s="12">
        <v>41</v>
      </c>
      <c r="B44" s="20" t="s">
        <v>133</v>
      </c>
      <c r="C44" s="14" t="s">
        <v>139</v>
      </c>
      <c r="D44" s="12" t="str">
        <f>_xlfn.DISPIMG("ID_DE26BF6855484425AF1264323F51E482",1)</f>
        <v>=DISPIMG("ID_DE26BF6855484425AF1264323F51E482",1)</v>
      </c>
      <c r="E44" s="15" t="s">
        <v>140</v>
      </c>
      <c r="F44" s="16" t="s">
        <v>27</v>
      </c>
      <c r="G44" s="19" t="s">
        <v>136</v>
      </c>
      <c r="H44" s="18">
        <v>135</v>
      </c>
      <c r="I44" s="28">
        <v>0</v>
      </c>
      <c r="J44" s="12">
        <f t="shared" si="1"/>
        <v>0</v>
      </c>
    </row>
    <row r="45" s="1" customFormat="1" ht="94.5" spans="1:10">
      <c r="A45" s="12">
        <v>42</v>
      </c>
      <c r="B45" s="20" t="s">
        <v>141</v>
      </c>
      <c r="C45" s="14" t="s">
        <v>142</v>
      </c>
      <c r="D45" s="12" t="str">
        <f>_xlfn.DISPIMG("ID_6EC77E5BEB314E78A74D03D7668CAE44",1)</f>
        <v>=DISPIMG("ID_6EC77E5BEB314E78A74D03D7668CAE44",1)</v>
      </c>
      <c r="E45" s="15" t="s">
        <v>143</v>
      </c>
      <c r="F45" s="16" t="s">
        <v>27</v>
      </c>
      <c r="G45" s="19" t="s">
        <v>51</v>
      </c>
      <c r="H45" s="18">
        <v>5.5</v>
      </c>
      <c r="I45" s="28">
        <v>25</v>
      </c>
      <c r="J45" s="12">
        <f t="shared" si="1"/>
        <v>137.5</v>
      </c>
    </row>
    <row r="46" s="1" customFormat="1" ht="81" spans="1:10">
      <c r="A46" s="12">
        <v>43</v>
      </c>
      <c r="B46" s="20" t="s">
        <v>141</v>
      </c>
      <c r="C46" s="14" t="s">
        <v>144</v>
      </c>
      <c r="D46" s="12" t="str">
        <f>_xlfn.DISPIMG("ID_C21ECD0659C24AF59A92A4F0487549BF",1)</f>
        <v>=DISPIMG("ID_C21ECD0659C24AF59A92A4F0487549BF",1)</v>
      </c>
      <c r="E46" s="15" t="s">
        <v>145</v>
      </c>
      <c r="F46" s="16" t="s">
        <v>27</v>
      </c>
      <c r="G46" s="19" t="s">
        <v>51</v>
      </c>
      <c r="H46" s="18">
        <v>10</v>
      </c>
      <c r="I46" s="28">
        <v>8</v>
      </c>
      <c r="J46" s="12">
        <f t="shared" si="1"/>
        <v>80</v>
      </c>
    </row>
    <row r="47" s="1" customFormat="1" ht="94.5" spans="1:10">
      <c r="A47" s="12">
        <v>44</v>
      </c>
      <c r="B47" s="13" t="s">
        <v>146</v>
      </c>
      <c r="C47" s="14" t="s">
        <v>147</v>
      </c>
      <c r="D47" s="12" t="str">
        <f>_xlfn.DISPIMG("ID_798AEA6696094D00B5A7747A9459F0FE",1)</f>
        <v>=DISPIMG("ID_798AEA6696094D00B5A7747A9459F0FE",1)</v>
      </c>
      <c r="E47" s="15" t="s">
        <v>148</v>
      </c>
      <c r="F47" s="16" t="s">
        <v>15</v>
      </c>
      <c r="G47" s="17" t="s">
        <v>149</v>
      </c>
      <c r="H47" s="18">
        <v>0.2</v>
      </c>
      <c r="I47" s="28">
        <v>230</v>
      </c>
      <c r="J47" s="12">
        <f t="shared" si="1"/>
        <v>46</v>
      </c>
    </row>
    <row r="48" s="1" customFormat="1" ht="94.5" spans="1:10">
      <c r="A48" s="12">
        <v>45</v>
      </c>
      <c r="B48" s="20" t="s">
        <v>150</v>
      </c>
      <c r="C48" s="14" t="s">
        <v>151</v>
      </c>
      <c r="D48" s="12" t="str">
        <f>_xlfn.DISPIMG("ID_56BC674A50794BC29AD17B90A9B484B9",1)</f>
        <v>=DISPIMG("ID_56BC674A50794BC29AD17B90A9B484B9",1)</v>
      </c>
      <c r="E48" s="15" t="s">
        <v>152</v>
      </c>
      <c r="F48" s="16" t="s">
        <v>27</v>
      </c>
      <c r="G48" s="19" t="s">
        <v>32</v>
      </c>
      <c r="H48" s="18">
        <v>1</v>
      </c>
      <c r="I48" s="28">
        <v>10</v>
      </c>
      <c r="J48" s="12">
        <f t="shared" si="1"/>
        <v>10</v>
      </c>
    </row>
    <row r="49" s="1" customFormat="1" ht="81" spans="1:10">
      <c r="A49" s="12">
        <v>46</v>
      </c>
      <c r="B49" s="20" t="s">
        <v>153</v>
      </c>
      <c r="C49" s="14" t="s">
        <v>154</v>
      </c>
      <c r="D49" s="12" t="str">
        <f>_xlfn.DISPIMG("ID_8A5A790C3A1149BDBFAAA1CC31D6B30B",1)</f>
        <v>=DISPIMG("ID_8A5A790C3A1149BDBFAAA1CC31D6B30B",1)</v>
      </c>
      <c r="E49" s="15" t="s">
        <v>155</v>
      </c>
      <c r="F49" s="16" t="s">
        <v>27</v>
      </c>
      <c r="G49" s="19" t="s">
        <v>32</v>
      </c>
      <c r="H49" s="18">
        <v>1</v>
      </c>
      <c r="I49" s="28">
        <v>0</v>
      </c>
      <c r="J49" s="12">
        <f t="shared" si="1"/>
        <v>0</v>
      </c>
    </row>
    <row r="50" s="1" customFormat="1" ht="94.5" spans="1:10">
      <c r="A50" s="12">
        <v>47</v>
      </c>
      <c r="B50" s="13" t="s">
        <v>156</v>
      </c>
      <c r="C50" s="14" t="s">
        <v>157</v>
      </c>
      <c r="D50" s="12" t="str">
        <f>_xlfn.DISPIMG("ID_F8007B29F10849548FB02BA62D0011FE",1)</f>
        <v>=DISPIMG("ID_F8007B29F10849548FB02BA62D0011FE",1)</v>
      </c>
      <c r="E50" s="15" t="s">
        <v>158</v>
      </c>
      <c r="F50" s="16" t="s">
        <v>27</v>
      </c>
      <c r="G50" s="17" t="s">
        <v>159</v>
      </c>
      <c r="H50" s="18">
        <v>10</v>
      </c>
      <c r="I50" s="28">
        <v>3</v>
      </c>
      <c r="J50" s="12">
        <f t="shared" si="1"/>
        <v>30</v>
      </c>
    </row>
    <row r="51" s="1" customFormat="1" ht="94.5" spans="1:10">
      <c r="A51" s="12">
        <v>48</v>
      </c>
      <c r="B51" s="13" t="s">
        <v>160</v>
      </c>
      <c r="C51" s="14" t="s">
        <v>161</v>
      </c>
      <c r="D51" s="12" t="str">
        <f>_xlfn.DISPIMG("ID_E5A32909C27C4E8F871CD91248E55CFF",1)</f>
        <v>=DISPIMG("ID_E5A32909C27C4E8F871CD91248E55CFF",1)</v>
      </c>
      <c r="E51" s="15" t="s">
        <v>162</v>
      </c>
      <c r="F51" s="16" t="s">
        <v>27</v>
      </c>
      <c r="G51" s="17" t="s">
        <v>159</v>
      </c>
      <c r="H51" s="18">
        <v>15</v>
      </c>
      <c r="I51" s="28">
        <v>4</v>
      </c>
      <c r="J51" s="12">
        <f t="shared" si="1"/>
        <v>60</v>
      </c>
    </row>
    <row r="52" s="1" customFormat="1" ht="121.5" spans="1:10">
      <c r="A52" s="12">
        <v>49</v>
      </c>
      <c r="B52" s="20" t="s">
        <v>163</v>
      </c>
      <c r="C52" s="14" t="s">
        <v>164</v>
      </c>
      <c r="D52" s="12" t="str">
        <f>_xlfn.DISPIMG("ID_43C5A780C174475596A15A82B92A229A",1)</f>
        <v>=DISPIMG("ID_43C5A780C174475596A15A82B92A229A",1)</v>
      </c>
      <c r="E52" s="15" t="s">
        <v>165</v>
      </c>
      <c r="F52" s="16" t="s">
        <v>27</v>
      </c>
      <c r="G52" s="19" t="s">
        <v>166</v>
      </c>
      <c r="H52" s="18">
        <v>1</v>
      </c>
      <c r="I52" s="28">
        <v>80</v>
      </c>
      <c r="J52" s="12">
        <f t="shared" si="1"/>
        <v>80</v>
      </c>
    </row>
    <row r="53" s="1" customFormat="1" ht="81" spans="1:10">
      <c r="A53" s="12">
        <v>50</v>
      </c>
      <c r="B53" s="13" t="s">
        <v>167</v>
      </c>
      <c r="C53" s="14" t="s">
        <v>168</v>
      </c>
      <c r="D53" s="12" t="str">
        <f>_xlfn.DISPIMG("ID_74087D50807A49088A256F554F74BE9B",1)</f>
        <v>=DISPIMG("ID_74087D50807A49088A256F554F74BE9B",1)</v>
      </c>
      <c r="E53" s="15" t="s">
        <v>169</v>
      </c>
      <c r="F53" s="16" t="s">
        <v>27</v>
      </c>
      <c r="G53" s="17" t="s">
        <v>51</v>
      </c>
      <c r="H53" s="18">
        <v>10</v>
      </c>
      <c r="I53" s="28">
        <v>69</v>
      </c>
      <c r="J53" s="12">
        <f t="shared" si="1"/>
        <v>690</v>
      </c>
    </row>
    <row r="54" s="1" customFormat="1" ht="69.8" spans="1:10">
      <c r="A54" s="12">
        <v>51</v>
      </c>
      <c r="B54" s="13" t="s">
        <v>170</v>
      </c>
      <c r="C54" s="14" t="s">
        <v>171</v>
      </c>
      <c r="D54" s="12" t="str">
        <f>_xlfn.DISPIMG("ID_839604D5455E4DA3840B8786E90ACE45",1)</f>
        <v>=DISPIMG("ID_839604D5455E4DA3840B8786E90ACE45",1)</v>
      </c>
      <c r="E54" s="15" t="s">
        <v>172</v>
      </c>
      <c r="F54" s="16" t="s">
        <v>15</v>
      </c>
      <c r="G54" s="17" t="s">
        <v>173</v>
      </c>
      <c r="H54" s="18">
        <v>70</v>
      </c>
      <c r="I54" s="28">
        <v>0</v>
      </c>
      <c r="J54" s="12">
        <f t="shared" si="1"/>
        <v>0</v>
      </c>
    </row>
    <row r="55" s="1" customFormat="1" ht="81" spans="1:10">
      <c r="A55" s="12">
        <v>52</v>
      </c>
      <c r="B55" s="13" t="s">
        <v>174</v>
      </c>
      <c r="C55" s="14" t="s">
        <v>175</v>
      </c>
      <c r="D55" s="12" t="str">
        <f>_xlfn.DISPIMG("ID_871AC509A4D44DB29BD7A938722488F6",1)</f>
        <v>=DISPIMG("ID_871AC509A4D44DB29BD7A938722488F6",1)</v>
      </c>
      <c r="E55" s="15" t="s">
        <v>176</v>
      </c>
      <c r="F55" s="16" t="s">
        <v>15</v>
      </c>
      <c r="G55" s="17" t="s">
        <v>173</v>
      </c>
      <c r="H55" s="18">
        <v>90</v>
      </c>
      <c r="I55" s="28">
        <v>1</v>
      </c>
      <c r="J55" s="12">
        <f t="shared" si="1"/>
        <v>90</v>
      </c>
    </row>
    <row r="56" s="1" customFormat="1" ht="94.5" spans="1:10">
      <c r="A56" s="12">
        <v>53</v>
      </c>
      <c r="B56" s="23" t="s">
        <v>177</v>
      </c>
      <c r="C56" s="14" t="s">
        <v>178</v>
      </c>
      <c r="D56" s="12" t="str">
        <f>_xlfn.DISPIMG("ID_E840197695CD428CAF27E5D3A76E8F66",1)</f>
        <v>=DISPIMG("ID_E840197695CD428CAF27E5D3A76E8F66",1)</v>
      </c>
      <c r="E56" s="15" t="s">
        <v>179</v>
      </c>
      <c r="F56" s="16" t="s">
        <v>180</v>
      </c>
      <c r="G56" s="19" t="s">
        <v>51</v>
      </c>
      <c r="H56" s="18">
        <v>8</v>
      </c>
      <c r="I56" s="28">
        <v>0</v>
      </c>
      <c r="J56" s="12">
        <f t="shared" si="1"/>
        <v>0</v>
      </c>
    </row>
    <row r="57" s="1" customFormat="1" ht="94.5" spans="1:10">
      <c r="A57" s="12">
        <v>54</v>
      </c>
      <c r="B57" s="13" t="s">
        <v>181</v>
      </c>
      <c r="C57" s="14" t="s">
        <v>182</v>
      </c>
      <c r="D57" s="12" t="str">
        <f>_xlfn.DISPIMG("ID_98D0209EF8E545B3A05FCB0544CBE3D6",1)</f>
        <v>=DISPIMG("ID_98D0209EF8E545B3A05FCB0544CBE3D6",1)</v>
      </c>
      <c r="E57" s="15" t="s">
        <v>183</v>
      </c>
      <c r="F57" s="16" t="s">
        <v>180</v>
      </c>
      <c r="G57" s="17" t="s">
        <v>51</v>
      </c>
      <c r="H57" s="18">
        <v>8</v>
      </c>
      <c r="I57" s="28">
        <v>0</v>
      </c>
      <c r="J57" s="12">
        <f t="shared" si="1"/>
        <v>0</v>
      </c>
    </row>
    <row r="58" s="1" customFormat="1" ht="94.5" spans="1:10">
      <c r="A58" s="12">
        <v>55</v>
      </c>
      <c r="B58" s="13" t="s">
        <v>184</v>
      </c>
      <c r="C58" s="14" t="s">
        <v>185</v>
      </c>
      <c r="D58" s="12" t="str">
        <f>_xlfn.DISPIMG("ID_07CE8EA6981749468C09C727F1CD2BF8",1)</f>
        <v>=DISPIMG("ID_07CE8EA6981749468C09C727F1CD2BF8",1)</v>
      </c>
      <c r="E58" s="15" t="s">
        <v>186</v>
      </c>
      <c r="F58" s="16" t="s">
        <v>180</v>
      </c>
      <c r="G58" s="17" t="s">
        <v>51</v>
      </c>
      <c r="H58" s="18">
        <v>15</v>
      </c>
      <c r="I58" s="28">
        <v>2</v>
      </c>
      <c r="J58" s="12">
        <f t="shared" si="1"/>
        <v>30</v>
      </c>
    </row>
    <row r="59" s="1" customFormat="1" ht="68.25" spans="1:10">
      <c r="A59" s="12">
        <v>56</v>
      </c>
      <c r="B59" s="13" t="s">
        <v>187</v>
      </c>
      <c r="C59" s="14" t="s">
        <v>188</v>
      </c>
      <c r="D59" s="14" t="str">
        <f>_xlfn.DISPIMG("ID_D3777F0D76174C009ED90ED6B2B5A7FA",1)</f>
        <v>=DISPIMG("ID_D3777F0D76174C009ED90ED6B2B5A7FA",1)</v>
      </c>
      <c r="E59" s="15" t="s">
        <v>189</v>
      </c>
      <c r="F59" s="16" t="s">
        <v>180</v>
      </c>
      <c r="G59" s="17" t="s">
        <v>105</v>
      </c>
      <c r="H59" s="18">
        <v>8</v>
      </c>
      <c r="I59" s="28">
        <v>65</v>
      </c>
      <c r="J59" s="12">
        <f t="shared" si="1"/>
        <v>520</v>
      </c>
    </row>
    <row r="60" s="1" customFormat="1" ht="148.5" spans="1:10">
      <c r="A60" s="12">
        <v>57</v>
      </c>
      <c r="B60" s="13" t="s">
        <v>190</v>
      </c>
      <c r="C60" s="14" t="s">
        <v>191</v>
      </c>
      <c r="D60" s="12" t="str">
        <f>_xlfn.DISPIMG("ID_C0B0EF96F1734948A2C79D22B7FCC252",1)</f>
        <v>=DISPIMG("ID_C0B0EF96F1734948A2C79D22B7FCC252",1)</v>
      </c>
      <c r="E60" s="15" t="s">
        <v>192</v>
      </c>
      <c r="F60" s="16" t="s">
        <v>180</v>
      </c>
      <c r="G60" s="17" t="s">
        <v>105</v>
      </c>
      <c r="H60" s="18">
        <v>8.5</v>
      </c>
      <c r="I60" s="28">
        <v>30</v>
      </c>
      <c r="J60" s="12">
        <f t="shared" si="1"/>
        <v>255</v>
      </c>
    </row>
    <row r="61" s="1" customFormat="1" ht="121.5" spans="1:10">
      <c r="A61" s="12">
        <v>58</v>
      </c>
      <c r="B61" s="13" t="s">
        <v>193</v>
      </c>
      <c r="C61" s="14" t="s">
        <v>194</v>
      </c>
      <c r="D61" s="12" t="str">
        <f>_xlfn.DISPIMG("ID_2F0F95FC8409450EA1E08CE389CAED97",1)</f>
        <v>=DISPIMG("ID_2F0F95FC8409450EA1E08CE389CAED97",1)</v>
      </c>
      <c r="E61" s="15" t="s">
        <v>195</v>
      </c>
      <c r="F61" s="16" t="s">
        <v>180</v>
      </c>
      <c r="G61" s="17" t="s">
        <v>51</v>
      </c>
      <c r="H61" s="18">
        <v>12</v>
      </c>
      <c r="I61" s="28">
        <v>40</v>
      </c>
      <c r="J61" s="12">
        <f t="shared" si="1"/>
        <v>480</v>
      </c>
    </row>
    <row r="62" s="1" customFormat="1" ht="108" spans="1:10">
      <c r="A62" s="12">
        <v>59</v>
      </c>
      <c r="B62" s="13" t="s">
        <v>196</v>
      </c>
      <c r="C62" s="24" t="s">
        <v>197</v>
      </c>
      <c r="D62" s="25" t="str">
        <f>_xlfn.DISPIMG("ID_D7E588B752DC43A6B062BAC065E5590F",1)</f>
        <v>=DISPIMG("ID_D7E588B752DC43A6B062BAC065E5590F",1)</v>
      </c>
      <c r="E62" s="15" t="s">
        <v>198</v>
      </c>
      <c r="F62" s="16" t="s">
        <v>180</v>
      </c>
      <c r="G62" s="17" t="s">
        <v>51</v>
      </c>
      <c r="H62" s="18">
        <v>5</v>
      </c>
      <c r="I62" s="28">
        <v>40</v>
      </c>
      <c r="J62" s="12">
        <f t="shared" si="1"/>
        <v>200</v>
      </c>
    </row>
    <row r="63" s="1" customFormat="1" ht="121.5" spans="1:10">
      <c r="A63" s="12">
        <v>60</v>
      </c>
      <c r="B63" s="13" t="s">
        <v>199</v>
      </c>
      <c r="C63" s="24" t="s">
        <v>200</v>
      </c>
      <c r="D63" s="12" t="str">
        <f>_xlfn.DISPIMG("ID_41640C204E9E4BA3A6B25D5E607956C6",1)</f>
        <v>=DISPIMG("ID_41640C204E9E4BA3A6B25D5E607956C6",1)</v>
      </c>
      <c r="E63" s="15" t="s">
        <v>201</v>
      </c>
      <c r="F63" s="16" t="s">
        <v>180</v>
      </c>
      <c r="G63" s="17" t="s">
        <v>51</v>
      </c>
      <c r="H63" s="18">
        <v>30</v>
      </c>
      <c r="I63" s="28">
        <v>52</v>
      </c>
      <c r="J63" s="12">
        <f t="shared" si="1"/>
        <v>1560</v>
      </c>
    </row>
    <row r="64" s="1" customFormat="1" ht="121.5" spans="1:10">
      <c r="A64" s="12">
        <v>61</v>
      </c>
      <c r="B64" s="13" t="s">
        <v>202</v>
      </c>
      <c r="C64" s="24" t="s">
        <v>203</v>
      </c>
      <c r="D64" s="12" t="str">
        <f>_xlfn.DISPIMG("ID_560A1721A0574E98B60BE9EFBB4848CA",1)</f>
        <v>=DISPIMG("ID_560A1721A0574E98B60BE9EFBB4848CA",1)</v>
      </c>
      <c r="E64" s="15" t="s">
        <v>204</v>
      </c>
      <c r="F64" s="16" t="s">
        <v>180</v>
      </c>
      <c r="G64" s="17" t="s">
        <v>149</v>
      </c>
      <c r="H64" s="18">
        <v>0.5</v>
      </c>
      <c r="I64" s="28">
        <v>10</v>
      </c>
      <c r="J64" s="12">
        <f t="shared" si="1"/>
        <v>5</v>
      </c>
    </row>
    <row r="65" s="1" customFormat="1" ht="135" spans="1:10">
      <c r="A65" s="12">
        <v>62</v>
      </c>
      <c r="B65" s="13" t="s">
        <v>205</v>
      </c>
      <c r="C65" s="24" t="s">
        <v>206</v>
      </c>
      <c r="D65" s="12" t="str">
        <f>_xlfn.DISPIMG("ID_15CF649F09F14C59A5C92CF5AB76511B",1)</f>
        <v>=DISPIMG("ID_15CF649F09F14C59A5C92CF5AB76511B",1)</v>
      </c>
      <c r="E65" s="15" t="s">
        <v>207</v>
      </c>
      <c r="F65" s="16" t="s">
        <v>180</v>
      </c>
      <c r="G65" s="17" t="s">
        <v>51</v>
      </c>
      <c r="H65" s="18">
        <v>15</v>
      </c>
      <c r="I65" s="28">
        <v>40</v>
      </c>
      <c r="J65" s="12">
        <f t="shared" si="1"/>
        <v>600</v>
      </c>
    </row>
    <row r="66" s="1" customFormat="1" ht="108" spans="1:10">
      <c r="A66" s="12">
        <v>63</v>
      </c>
      <c r="B66" s="13" t="s">
        <v>208</v>
      </c>
      <c r="C66" s="29" t="s">
        <v>209</v>
      </c>
      <c r="D66" s="12" t="str">
        <f>_xlfn.DISPIMG("ID_3A7A3BFE9D7A45958E1EF450EA932E4F",1)</f>
        <v>=DISPIMG("ID_3A7A3BFE9D7A45958E1EF450EA932E4F",1)</v>
      </c>
      <c r="E66" s="15" t="s">
        <v>210</v>
      </c>
      <c r="F66" s="16" t="s">
        <v>180</v>
      </c>
      <c r="G66" s="17" t="s">
        <v>105</v>
      </c>
      <c r="H66" s="18">
        <v>10</v>
      </c>
      <c r="I66" s="28">
        <v>50</v>
      </c>
      <c r="J66" s="12">
        <f t="shared" si="1"/>
        <v>500</v>
      </c>
    </row>
    <row r="67" s="1" customFormat="1" ht="108" spans="1:10">
      <c r="A67" s="12">
        <v>64</v>
      </c>
      <c r="B67" s="13" t="s">
        <v>211</v>
      </c>
      <c r="C67" s="29" t="s">
        <v>209</v>
      </c>
      <c r="D67" s="12" t="str">
        <f>_xlfn.DISPIMG("ID_B4BE7C7758B64BF188E3311843EF7F4B",1)</f>
        <v>=DISPIMG("ID_B4BE7C7758B64BF188E3311843EF7F4B",1)</v>
      </c>
      <c r="E67" s="15" t="s">
        <v>210</v>
      </c>
      <c r="F67" s="16" t="s">
        <v>180</v>
      </c>
      <c r="G67" s="17" t="s">
        <v>105</v>
      </c>
      <c r="H67" s="18">
        <v>15</v>
      </c>
      <c r="I67" s="28">
        <v>5</v>
      </c>
      <c r="J67" s="12">
        <f t="shared" si="1"/>
        <v>75</v>
      </c>
    </row>
    <row r="68" s="1" customFormat="1" ht="94.5" spans="1:10">
      <c r="A68" s="12">
        <v>65</v>
      </c>
      <c r="B68" s="20" t="s">
        <v>212</v>
      </c>
      <c r="C68" s="29" t="s">
        <v>213</v>
      </c>
      <c r="D68" s="12" t="str">
        <f>_xlfn.DISPIMG("ID_0F944292A4374C019BE947164FD57B8A",1)</f>
        <v>=DISPIMG("ID_0F944292A4374C019BE947164FD57B8A",1)</v>
      </c>
      <c r="E68" s="15" t="s">
        <v>214</v>
      </c>
      <c r="F68" s="16" t="s">
        <v>180</v>
      </c>
      <c r="G68" s="19" t="s">
        <v>51</v>
      </c>
      <c r="H68" s="18">
        <v>8</v>
      </c>
      <c r="I68" s="28">
        <v>24</v>
      </c>
      <c r="J68" s="12">
        <f t="shared" si="1"/>
        <v>192</v>
      </c>
    </row>
    <row r="69" s="1" customFormat="1" ht="81" spans="1:10">
      <c r="A69" s="12">
        <v>66</v>
      </c>
      <c r="B69" s="20" t="s">
        <v>215</v>
      </c>
      <c r="C69" s="24" t="s">
        <v>216</v>
      </c>
      <c r="D69" s="12" t="str">
        <f>_xlfn.DISPIMG("ID_1B030FA40EBD40F7AA3BF71BA9159172",1)</f>
        <v>=DISPIMG("ID_1B030FA40EBD40F7AA3BF71BA9159172",1)</v>
      </c>
      <c r="E69" s="15" t="s">
        <v>217</v>
      </c>
      <c r="F69" s="16" t="s">
        <v>218</v>
      </c>
      <c r="G69" s="19" t="s">
        <v>51</v>
      </c>
      <c r="H69" s="18">
        <v>4</v>
      </c>
      <c r="I69" s="28">
        <v>34</v>
      </c>
      <c r="J69" s="12">
        <f t="shared" ref="J69:J100" si="2">I69*$H69</f>
        <v>136</v>
      </c>
    </row>
    <row r="70" s="1" customFormat="1" ht="81" spans="1:10">
      <c r="A70" s="12">
        <v>67</v>
      </c>
      <c r="B70" s="13" t="s">
        <v>219</v>
      </c>
      <c r="C70" s="24" t="s">
        <v>220</v>
      </c>
      <c r="D70" s="12" t="str">
        <f>_xlfn.DISPIMG("ID_D18E122797B5444F81079FFB4A51E533",1)</f>
        <v>=DISPIMG("ID_D18E122797B5444F81079FFB4A51E533",1)</v>
      </c>
      <c r="E70" s="15" t="s">
        <v>221</v>
      </c>
      <c r="F70" s="16" t="s">
        <v>222</v>
      </c>
      <c r="G70" s="17" t="s">
        <v>23</v>
      </c>
      <c r="H70" s="18">
        <v>60</v>
      </c>
      <c r="I70" s="28">
        <v>2</v>
      </c>
      <c r="J70" s="12">
        <f t="shared" si="2"/>
        <v>120</v>
      </c>
    </row>
    <row r="71" s="1" customFormat="1" ht="81" spans="1:10">
      <c r="A71" s="12">
        <v>68</v>
      </c>
      <c r="B71" s="13" t="s">
        <v>219</v>
      </c>
      <c r="C71" s="24" t="s">
        <v>223</v>
      </c>
      <c r="D71" s="12" t="str">
        <f>_xlfn.DISPIMG("ID_7BFA5F72F76A48A4AFBD9EE637262038",1)</f>
        <v>=DISPIMG("ID_7BFA5F72F76A48A4AFBD9EE637262038",1)</v>
      </c>
      <c r="E71" s="15" t="s">
        <v>224</v>
      </c>
      <c r="F71" s="16" t="s">
        <v>222</v>
      </c>
      <c r="G71" s="17" t="s">
        <v>23</v>
      </c>
      <c r="H71" s="18">
        <v>120</v>
      </c>
      <c r="I71" s="28">
        <v>0</v>
      </c>
      <c r="J71" s="12">
        <f t="shared" si="2"/>
        <v>0</v>
      </c>
    </row>
    <row r="72" s="1" customFormat="1" ht="81" spans="1:10">
      <c r="A72" s="12">
        <v>69</v>
      </c>
      <c r="B72" s="13" t="s">
        <v>225</v>
      </c>
      <c r="C72" s="24" t="s">
        <v>226</v>
      </c>
      <c r="D72" s="12" t="str">
        <f>_xlfn.DISPIMG("ID_E2A4E2EA1E824D1694102B7E8A4730C3",1)</f>
        <v>=DISPIMG("ID_E2A4E2EA1E824D1694102B7E8A4730C3",1)</v>
      </c>
      <c r="E72" s="15" t="s">
        <v>227</v>
      </c>
      <c r="F72" s="16" t="s">
        <v>222</v>
      </c>
      <c r="G72" s="17" t="s">
        <v>166</v>
      </c>
      <c r="H72" s="18">
        <v>2</v>
      </c>
      <c r="I72" s="28">
        <v>90</v>
      </c>
      <c r="J72" s="12">
        <f t="shared" si="2"/>
        <v>180</v>
      </c>
    </row>
    <row r="73" s="1" customFormat="1" ht="81" spans="1:10">
      <c r="A73" s="12">
        <v>70</v>
      </c>
      <c r="B73" s="13" t="s">
        <v>228</v>
      </c>
      <c r="C73" s="24" t="s">
        <v>229</v>
      </c>
      <c r="D73" s="12" t="str">
        <f>_xlfn.DISPIMG("ID_3187EB9B393648B99717196D9D1C62B1",1)</f>
        <v>=DISPIMG("ID_3187EB9B393648B99717196D9D1C62B1",1)</v>
      </c>
      <c r="E73" s="15" t="s">
        <v>230</v>
      </c>
      <c r="F73" s="16" t="s">
        <v>222</v>
      </c>
      <c r="G73" s="17" t="s">
        <v>23</v>
      </c>
      <c r="H73" s="18">
        <v>2</v>
      </c>
      <c r="I73" s="28">
        <v>135</v>
      </c>
      <c r="J73" s="12">
        <f t="shared" si="2"/>
        <v>270</v>
      </c>
    </row>
    <row r="74" s="1" customFormat="1" ht="81" spans="1:10">
      <c r="A74" s="12">
        <v>71</v>
      </c>
      <c r="B74" s="12" t="s">
        <v>231</v>
      </c>
      <c r="C74" s="24" t="s">
        <v>232</v>
      </c>
      <c r="D74" s="12" t="str">
        <f>_xlfn.DISPIMG("ID_7044AA6C56AD4076A174C1501E4DF066",1)</f>
        <v>=DISPIMG("ID_7044AA6C56AD4076A174C1501E4DF066",1)</v>
      </c>
      <c r="E74" s="15" t="s">
        <v>233</v>
      </c>
      <c r="F74" s="16" t="s">
        <v>222</v>
      </c>
      <c r="G74" s="30" t="s">
        <v>51</v>
      </c>
      <c r="H74" s="18">
        <v>2</v>
      </c>
      <c r="I74" s="28">
        <v>155</v>
      </c>
      <c r="J74" s="12">
        <f t="shared" si="2"/>
        <v>310</v>
      </c>
    </row>
    <row r="75" s="1" customFormat="1" ht="94.5" spans="1:10">
      <c r="A75" s="12">
        <v>72</v>
      </c>
      <c r="B75" s="31" t="s">
        <v>234</v>
      </c>
      <c r="C75" s="24" t="s">
        <v>235</v>
      </c>
      <c r="D75" s="12" t="str">
        <f>_xlfn.DISPIMG("ID_5E4569FB38814A3FA51836A4AF3ACE8E",1)</f>
        <v>=DISPIMG("ID_5E4569FB38814A3FA51836A4AF3ACE8E",1)</v>
      </c>
      <c r="E75" s="15" t="s">
        <v>236</v>
      </c>
      <c r="F75" s="16" t="s">
        <v>237</v>
      </c>
      <c r="G75" s="32" t="s">
        <v>32</v>
      </c>
      <c r="H75" s="18">
        <v>75</v>
      </c>
      <c r="I75" s="28">
        <v>4</v>
      </c>
      <c r="J75" s="12">
        <f t="shared" si="2"/>
        <v>300</v>
      </c>
    </row>
    <row r="76" s="1" customFormat="1" ht="108" spans="1:10">
      <c r="A76" s="12">
        <v>73</v>
      </c>
      <c r="B76" s="13" t="s">
        <v>238</v>
      </c>
      <c r="C76" s="24" t="s">
        <v>239</v>
      </c>
      <c r="D76" s="12" t="str">
        <f>_xlfn.DISPIMG("ID_5100D166B2624DBEB3B3579421AEA14F",1)</f>
        <v>=DISPIMG("ID_5100D166B2624DBEB3B3579421AEA14F",1)</v>
      </c>
      <c r="E76" s="15" t="s">
        <v>240</v>
      </c>
      <c r="F76" s="16" t="s">
        <v>237</v>
      </c>
      <c r="G76" s="17" t="s">
        <v>32</v>
      </c>
      <c r="H76" s="18">
        <v>3</v>
      </c>
      <c r="I76" s="28">
        <v>26</v>
      </c>
      <c r="J76" s="12">
        <f t="shared" si="2"/>
        <v>78</v>
      </c>
    </row>
    <row r="77" s="2" customFormat="1" ht="108" spans="1:10">
      <c r="A77" s="12">
        <v>74</v>
      </c>
      <c r="B77" s="13" t="s">
        <v>241</v>
      </c>
      <c r="C77" s="24" t="s">
        <v>242</v>
      </c>
      <c r="D77" s="12" t="str">
        <f>_xlfn.DISPIMG("ID_8CC6EF7511184DA0B9F8922658EC6B3F",1)</f>
        <v>=DISPIMG("ID_8CC6EF7511184DA0B9F8922658EC6B3F",1)</v>
      </c>
      <c r="E77" s="15" t="s">
        <v>243</v>
      </c>
      <c r="F77" s="16" t="s">
        <v>237</v>
      </c>
      <c r="G77" s="17" t="s">
        <v>32</v>
      </c>
      <c r="H77" s="18">
        <v>8</v>
      </c>
      <c r="I77" s="28">
        <v>52</v>
      </c>
      <c r="J77" s="12">
        <f t="shared" si="2"/>
        <v>416</v>
      </c>
    </row>
    <row r="78" s="2" customFormat="1" ht="81" spans="1:10">
      <c r="A78" s="12">
        <v>75</v>
      </c>
      <c r="B78" s="13" t="s">
        <v>241</v>
      </c>
      <c r="C78" s="24" t="s">
        <v>244</v>
      </c>
      <c r="D78" s="12" t="str">
        <f>_xlfn.DISPIMG("ID_4C803B9E90814C20942AB86131EC018D",1)</f>
        <v>=DISPIMG("ID_4C803B9E90814C20942AB86131EC018D",1)</v>
      </c>
      <c r="E78" s="15" t="s">
        <v>245</v>
      </c>
      <c r="F78" s="16" t="s">
        <v>237</v>
      </c>
      <c r="G78" s="17" t="s">
        <v>32</v>
      </c>
      <c r="H78" s="33">
        <v>3.2</v>
      </c>
      <c r="I78" s="28">
        <v>62</v>
      </c>
      <c r="J78" s="12">
        <f t="shared" si="2"/>
        <v>198.4</v>
      </c>
    </row>
    <row r="79" s="1" customFormat="1" ht="108" spans="1:10">
      <c r="A79" s="12">
        <v>76</v>
      </c>
      <c r="B79" s="20" t="s">
        <v>246</v>
      </c>
      <c r="C79" s="24" t="s">
        <v>247</v>
      </c>
      <c r="D79" s="12" t="str">
        <f>_xlfn.DISPIMG("ID_982B2D47EA294C5CBBA90F46A741E0D6",1)</f>
        <v>=DISPIMG("ID_982B2D47EA294C5CBBA90F46A741E0D6",1)</v>
      </c>
      <c r="E79" s="15" t="s">
        <v>248</v>
      </c>
      <c r="F79" s="16" t="s">
        <v>237</v>
      </c>
      <c r="G79" s="19" t="s">
        <v>32</v>
      </c>
      <c r="H79" s="18">
        <v>4</v>
      </c>
      <c r="I79" s="28">
        <v>17</v>
      </c>
      <c r="J79" s="12">
        <f t="shared" si="2"/>
        <v>68</v>
      </c>
    </row>
    <row r="80" s="1" customFormat="1" ht="81" spans="1:10">
      <c r="A80" s="12">
        <v>77</v>
      </c>
      <c r="B80" s="13" t="s">
        <v>249</v>
      </c>
      <c r="C80" s="24" t="s">
        <v>250</v>
      </c>
      <c r="D80" s="12" t="str">
        <f>_xlfn.DISPIMG("ID_AC6D14B339E849F6B2A28A49933305B8",1)</f>
        <v>=DISPIMG("ID_AC6D14B339E849F6B2A28A49933305B8",1)</v>
      </c>
      <c r="E80" s="15" t="s">
        <v>251</v>
      </c>
      <c r="F80" s="16" t="s">
        <v>237</v>
      </c>
      <c r="G80" s="17" t="s">
        <v>252</v>
      </c>
      <c r="H80" s="18">
        <v>3.5</v>
      </c>
      <c r="I80" s="28">
        <v>53</v>
      </c>
      <c r="J80" s="12">
        <f t="shared" si="2"/>
        <v>185.5</v>
      </c>
    </row>
    <row r="81" s="1" customFormat="1" ht="67.5" spans="1:10">
      <c r="A81" s="12">
        <v>78</v>
      </c>
      <c r="B81" s="13" t="s">
        <v>249</v>
      </c>
      <c r="C81" s="24" t="s">
        <v>253</v>
      </c>
      <c r="D81" s="12" t="str">
        <f>_xlfn.DISPIMG("ID_7664A472FD77456784C68CC8B71C986A",1)</f>
        <v>=DISPIMG("ID_7664A472FD77456784C68CC8B71C986A",1)</v>
      </c>
      <c r="E81" s="15" t="s">
        <v>254</v>
      </c>
      <c r="F81" s="16" t="s">
        <v>237</v>
      </c>
      <c r="G81" s="17" t="s">
        <v>252</v>
      </c>
      <c r="H81" s="18">
        <v>11</v>
      </c>
      <c r="I81" s="28">
        <v>49</v>
      </c>
      <c r="J81" s="12">
        <f t="shared" si="2"/>
        <v>539</v>
      </c>
    </row>
    <row r="82" s="2" customFormat="1" ht="94.5" spans="1:10">
      <c r="A82" s="12">
        <v>79</v>
      </c>
      <c r="B82" s="13" t="s">
        <v>255</v>
      </c>
      <c r="C82" s="24" t="s">
        <v>256</v>
      </c>
      <c r="D82" s="12" t="str">
        <f>_xlfn.DISPIMG("ID_4E0DFEA6407348E087A012935D43A8F4",1)</f>
        <v>=DISPIMG("ID_4E0DFEA6407348E087A012935D43A8F4",1)</v>
      </c>
      <c r="E82" s="15" t="s">
        <v>257</v>
      </c>
      <c r="F82" s="16" t="s">
        <v>237</v>
      </c>
      <c r="G82" s="17" t="s">
        <v>252</v>
      </c>
      <c r="H82" s="18">
        <v>6</v>
      </c>
      <c r="I82" s="28">
        <v>5</v>
      </c>
      <c r="J82" s="12">
        <f t="shared" si="2"/>
        <v>30</v>
      </c>
    </row>
    <row r="83" s="1" customFormat="1" ht="74.25" spans="1:10">
      <c r="A83" s="12">
        <v>80</v>
      </c>
      <c r="B83" s="13" t="s">
        <v>258</v>
      </c>
      <c r="C83" s="24" t="s">
        <v>259</v>
      </c>
      <c r="D83" s="12" t="str">
        <f>_xlfn.DISPIMG("ID_095A23C73E5D44DB8718B81954340A64",1)</f>
        <v>=DISPIMG("ID_095A23C73E5D44DB8718B81954340A64",1)</v>
      </c>
      <c r="E83" s="15" t="s">
        <v>260</v>
      </c>
      <c r="F83" s="16" t="s">
        <v>261</v>
      </c>
      <c r="G83" s="17" t="s">
        <v>252</v>
      </c>
      <c r="H83" s="18">
        <v>13.2</v>
      </c>
      <c r="I83" s="28">
        <v>53</v>
      </c>
      <c r="J83" s="12">
        <f t="shared" si="2"/>
        <v>699.6</v>
      </c>
    </row>
    <row r="84" s="1" customFormat="1" ht="70.55" spans="1:10">
      <c r="A84" s="12">
        <v>81</v>
      </c>
      <c r="B84" s="13" t="s">
        <v>262</v>
      </c>
      <c r="C84" s="24" t="s">
        <v>263</v>
      </c>
      <c r="D84" s="12" t="str">
        <f>_xlfn.DISPIMG("ID_77D7813B004447B697D8C88AA7698DF7",1)</f>
        <v>=DISPIMG("ID_77D7813B004447B697D8C88AA7698DF7",1)</v>
      </c>
      <c r="E84" s="15" t="s">
        <v>264</v>
      </c>
      <c r="F84" s="16" t="s">
        <v>261</v>
      </c>
      <c r="G84" s="17" t="s">
        <v>252</v>
      </c>
      <c r="H84" s="18">
        <v>7.5</v>
      </c>
      <c r="I84" s="28">
        <v>160</v>
      </c>
      <c r="J84" s="12">
        <f t="shared" si="2"/>
        <v>1200</v>
      </c>
    </row>
    <row r="85" s="1" customFormat="1" ht="73.55" spans="1:10">
      <c r="A85" s="12">
        <v>82</v>
      </c>
      <c r="B85" s="13" t="s">
        <v>265</v>
      </c>
      <c r="C85" s="24" t="s">
        <v>266</v>
      </c>
      <c r="D85" s="12" t="str">
        <f>_xlfn.DISPIMG("ID_DEFB3475282E48599F7B2D694B98F53B",1)</f>
        <v>=DISPIMG("ID_DEFB3475282E48599F7B2D694B98F53B",1)</v>
      </c>
      <c r="E85" s="15" t="s">
        <v>267</v>
      </c>
      <c r="F85" s="16" t="s">
        <v>261</v>
      </c>
      <c r="G85" s="17" t="s">
        <v>252</v>
      </c>
      <c r="H85" s="18">
        <v>6.5</v>
      </c>
      <c r="I85" s="28">
        <v>152</v>
      </c>
      <c r="J85" s="12">
        <f t="shared" si="2"/>
        <v>988</v>
      </c>
    </row>
    <row r="86" s="1" customFormat="1" ht="57.85" spans="1:10">
      <c r="A86" s="12">
        <v>83</v>
      </c>
      <c r="B86" s="13" t="s">
        <v>268</v>
      </c>
      <c r="C86" s="24" t="s">
        <v>269</v>
      </c>
      <c r="D86" s="12" t="str">
        <f>_xlfn.DISPIMG("ID_276ED1DEC54C4CBEBF84C565942337D5",1)</f>
        <v>=DISPIMG("ID_276ED1DEC54C4CBEBF84C565942337D5",1)</v>
      </c>
      <c r="E86" s="15" t="s">
        <v>270</v>
      </c>
      <c r="F86" s="16" t="s">
        <v>261</v>
      </c>
      <c r="G86" s="17" t="s">
        <v>32</v>
      </c>
      <c r="H86" s="18">
        <v>20</v>
      </c>
      <c r="I86" s="28">
        <v>5</v>
      </c>
      <c r="J86" s="12">
        <f t="shared" si="2"/>
        <v>100</v>
      </c>
    </row>
    <row r="87" s="1" customFormat="1" ht="72.8" spans="1:10">
      <c r="A87" s="12">
        <v>84</v>
      </c>
      <c r="B87" s="13" t="s">
        <v>268</v>
      </c>
      <c r="C87" s="24" t="s">
        <v>271</v>
      </c>
      <c r="D87" s="12" t="str">
        <f>_xlfn.DISPIMG("ID_9018441F69A948CF883C66A8E4B785C9",1)</f>
        <v>=DISPIMG("ID_9018441F69A948CF883C66A8E4B785C9",1)</v>
      </c>
      <c r="E87" s="15" t="s">
        <v>272</v>
      </c>
      <c r="F87" s="16" t="s">
        <v>261</v>
      </c>
      <c r="G87" s="17" t="s">
        <v>32</v>
      </c>
      <c r="H87" s="18">
        <v>23</v>
      </c>
      <c r="I87" s="28">
        <v>14</v>
      </c>
      <c r="J87" s="12">
        <f t="shared" si="2"/>
        <v>322</v>
      </c>
    </row>
    <row r="88" s="1" customFormat="1" ht="71.3" spans="1:10">
      <c r="A88" s="12">
        <v>85</v>
      </c>
      <c r="B88" s="13" t="s">
        <v>273</v>
      </c>
      <c r="C88" s="24" t="s">
        <v>274</v>
      </c>
      <c r="D88" s="12" t="str">
        <f>_xlfn.DISPIMG("ID_378A12AD9A66459A9CFB299EBADCC6CE",1)</f>
        <v>=DISPIMG("ID_378A12AD9A66459A9CFB299EBADCC6CE",1)</v>
      </c>
      <c r="E88" s="15" t="s">
        <v>275</v>
      </c>
      <c r="F88" s="16" t="s">
        <v>237</v>
      </c>
      <c r="G88" s="17" t="s">
        <v>32</v>
      </c>
      <c r="H88" s="18">
        <v>2.5</v>
      </c>
      <c r="I88" s="28">
        <v>130</v>
      </c>
      <c r="J88" s="12">
        <f t="shared" si="2"/>
        <v>325</v>
      </c>
    </row>
    <row r="89" s="1" customFormat="1" ht="66.85" spans="1:10">
      <c r="A89" s="12">
        <v>86</v>
      </c>
      <c r="B89" s="20" t="s">
        <v>276</v>
      </c>
      <c r="C89" s="24" t="s">
        <v>277</v>
      </c>
      <c r="D89" s="12" t="str">
        <f>_xlfn.DISPIMG("ID_2B5849F0B2D34D7BB6028B6AC890A157",1)</f>
        <v>=DISPIMG("ID_2B5849F0B2D34D7BB6028B6AC890A157",1)</v>
      </c>
      <c r="E89" s="15" t="s">
        <v>278</v>
      </c>
      <c r="F89" s="16" t="s">
        <v>261</v>
      </c>
      <c r="G89" s="19" t="s">
        <v>32</v>
      </c>
      <c r="H89" s="18">
        <v>5</v>
      </c>
      <c r="I89" s="28">
        <v>91</v>
      </c>
      <c r="J89" s="12">
        <f t="shared" si="2"/>
        <v>455</v>
      </c>
    </row>
    <row r="90" s="1" customFormat="1" ht="108" spans="1:10">
      <c r="A90" s="12">
        <v>87</v>
      </c>
      <c r="B90" s="13" t="s">
        <v>279</v>
      </c>
      <c r="C90" s="24" t="s">
        <v>280</v>
      </c>
      <c r="D90" s="12" t="str">
        <f>_xlfn.DISPIMG("ID_B4F4AA4A825143C1A453AF8CCBE4CC5A",1)</f>
        <v>=DISPIMG("ID_B4F4AA4A825143C1A453AF8CCBE4CC5A",1)</v>
      </c>
      <c r="E90" s="15" t="s">
        <v>281</v>
      </c>
      <c r="F90" s="16" t="s">
        <v>261</v>
      </c>
      <c r="G90" s="17" t="s">
        <v>252</v>
      </c>
      <c r="H90" s="18">
        <v>4.5</v>
      </c>
      <c r="I90" s="28">
        <v>180</v>
      </c>
      <c r="J90" s="12">
        <f t="shared" si="2"/>
        <v>810</v>
      </c>
    </row>
    <row r="91" s="1" customFormat="1" ht="135" spans="1:10">
      <c r="A91" s="12">
        <v>88</v>
      </c>
      <c r="B91" s="13" t="s">
        <v>282</v>
      </c>
      <c r="C91" s="24" t="s">
        <v>283</v>
      </c>
      <c r="D91" s="12" t="str">
        <f>_xlfn.DISPIMG("ID_FC1742E3C706423FA83F6EC4F691BD90",1)</f>
        <v>=DISPIMG("ID_FC1742E3C706423FA83F6EC4F691BD90",1)</v>
      </c>
      <c r="E91" s="15" t="s">
        <v>284</v>
      </c>
      <c r="F91" s="16" t="s">
        <v>261</v>
      </c>
      <c r="G91" s="17" t="s">
        <v>285</v>
      </c>
      <c r="H91" s="18">
        <v>3.5</v>
      </c>
      <c r="I91" s="28">
        <v>127</v>
      </c>
      <c r="J91" s="12">
        <f t="shared" si="2"/>
        <v>444.5</v>
      </c>
    </row>
    <row r="92" s="1" customFormat="1" ht="94.5" spans="1:10">
      <c r="A92" s="12">
        <v>89</v>
      </c>
      <c r="B92" s="13" t="s">
        <v>286</v>
      </c>
      <c r="C92" s="24" t="s">
        <v>287</v>
      </c>
      <c r="D92" s="12" t="str">
        <f>_xlfn.DISPIMG("ID_805919F3E98A424BAAAE4BF70191A2FC",1)</f>
        <v>=DISPIMG("ID_805919F3E98A424BAAAE4BF70191A2FC",1)</v>
      </c>
      <c r="E92" s="15" t="s">
        <v>288</v>
      </c>
      <c r="F92" s="16" t="s">
        <v>261</v>
      </c>
      <c r="G92" s="17" t="s">
        <v>289</v>
      </c>
      <c r="H92" s="18">
        <v>4.5</v>
      </c>
      <c r="I92" s="28">
        <v>20</v>
      </c>
      <c r="J92" s="12">
        <f t="shared" si="2"/>
        <v>90</v>
      </c>
    </row>
    <row r="93" s="1" customFormat="1" ht="67.6" spans="1:10">
      <c r="A93" s="12">
        <v>90</v>
      </c>
      <c r="B93" s="13" t="s">
        <v>290</v>
      </c>
      <c r="C93" s="24" t="s">
        <v>291</v>
      </c>
      <c r="D93" s="12" t="str">
        <f>_xlfn.DISPIMG("ID_A8B9DF48744046E8B78C2CC74DE1FF59",1)</f>
        <v>=DISPIMG("ID_A8B9DF48744046E8B78C2CC74DE1FF59",1)</v>
      </c>
      <c r="E93" s="15" t="s">
        <v>292</v>
      </c>
      <c r="F93" s="16" t="s">
        <v>261</v>
      </c>
      <c r="G93" s="17" t="s">
        <v>293</v>
      </c>
      <c r="H93" s="18">
        <v>1</v>
      </c>
      <c r="I93" s="28">
        <v>108</v>
      </c>
      <c r="J93" s="12">
        <f t="shared" si="2"/>
        <v>108</v>
      </c>
    </row>
    <row r="94" s="1" customFormat="1" spans="1:10">
      <c r="A94" s="12">
        <v>91</v>
      </c>
      <c r="B94" s="13" t="s">
        <v>294</v>
      </c>
      <c r="C94" s="24" t="s">
        <v>295</v>
      </c>
      <c r="D94" s="12" t="str">
        <f>_xlfn.DISPIMG("ID_08C22EA7636445DC8EEE56D0027C9401",1)</f>
        <v>=DISPIMG("ID_08C22EA7636445DC8EEE56D0027C9401",1)</v>
      </c>
      <c r="E94" s="15" t="s">
        <v>296</v>
      </c>
      <c r="F94" s="16" t="s">
        <v>261</v>
      </c>
      <c r="G94" s="17" t="s">
        <v>23</v>
      </c>
      <c r="H94" s="18">
        <v>2</v>
      </c>
      <c r="I94" s="28">
        <v>10</v>
      </c>
      <c r="J94" s="12">
        <f t="shared" si="2"/>
        <v>20</v>
      </c>
    </row>
    <row r="95" s="1" customFormat="1" ht="81" spans="1:10">
      <c r="A95" s="12">
        <v>92</v>
      </c>
      <c r="B95" s="13" t="s">
        <v>297</v>
      </c>
      <c r="C95" s="24" t="s">
        <v>298</v>
      </c>
      <c r="D95" s="12" t="str">
        <f>_xlfn.DISPIMG("ID_4AB0FDA7BCF44F94877C726BDA11CC4F",1)</f>
        <v>=DISPIMG("ID_4AB0FDA7BCF44F94877C726BDA11CC4F",1)</v>
      </c>
      <c r="E95" s="15" t="s">
        <v>299</v>
      </c>
      <c r="F95" s="16" t="s">
        <v>261</v>
      </c>
      <c r="G95" s="17" t="s">
        <v>293</v>
      </c>
      <c r="H95" s="18">
        <v>3</v>
      </c>
      <c r="I95" s="28">
        <v>119</v>
      </c>
      <c r="J95" s="12">
        <f t="shared" si="2"/>
        <v>357</v>
      </c>
    </row>
    <row r="96" s="1" customFormat="1" ht="108" spans="1:10">
      <c r="A96" s="12">
        <v>93</v>
      </c>
      <c r="B96" s="13" t="s">
        <v>300</v>
      </c>
      <c r="C96" s="24" t="s">
        <v>301</v>
      </c>
      <c r="D96" s="12" t="str">
        <f>_xlfn.DISPIMG("ID_DFF26CA7A0134AF781B1DA0C538E9119",1)</f>
        <v>=DISPIMG("ID_DFF26CA7A0134AF781B1DA0C538E9119",1)</v>
      </c>
      <c r="E96" s="15" t="s">
        <v>302</v>
      </c>
      <c r="F96" s="16" t="s">
        <v>261</v>
      </c>
      <c r="G96" s="17" t="s">
        <v>132</v>
      </c>
      <c r="H96" s="18">
        <v>8</v>
      </c>
      <c r="I96" s="28">
        <v>109</v>
      </c>
      <c r="J96" s="12">
        <f t="shared" si="2"/>
        <v>872</v>
      </c>
    </row>
    <row r="97" s="1" customFormat="1" ht="67.5" spans="1:10">
      <c r="A97" s="12">
        <v>94</v>
      </c>
      <c r="B97" s="13" t="s">
        <v>303</v>
      </c>
      <c r="C97" s="24" t="s">
        <v>304</v>
      </c>
      <c r="D97" s="12" t="str">
        <f>_xlfn.DISPIMG("ID_21CB78108E61470FA9575F7A8FE06CDC",1)</f>
        <v>=DISPIMG("ID_21CB78108E61470FA9575F7A8FE06CDC",1)</v>
      </c>
      <c r="E97" s="15" t="s">
        <v>305</v>
      </c>
      <c r="F97" s="16" t="s">
        <v>261</v>
      </c>
      <c r="G97" s="17" t="s">
        <v>32</v>
      </c>
      <c r="H97" s="18">
        <v>4</v>
      </c>
      <c r="I97" s="28">
        <v>0</v>
      </c>
      <c r="J97" s="12">
        <f t="shared" si="2"/>
        <v>0</v>
      </c>
    </row>
    <row r="98" s="1" customFormat="1" ht="67.5" spans="1:10">
      <c r="A98" s="12">
        <v>95</v>
      </c>
      <c r="B98" s="13" t="s">
        <v>306</v>
      </c>
      <c r="C98" s="24" t="s">
        <v>307</v>
      </c>
      <c r="D98" s="12" t="str">
        <f>_xlfn.DISPIMG("ID_4243E78C79F843CB877C5811BE0D0748",1)</f>
        <v>=DISPIMG("ID_4243E78C79F843CB877C5811BE0D0748",1)</v>
      </c>
      <c r="E98" s="15" t="s">
        <v>308</v>
      </c>
      <c r="F98" s="16" t="s">
        <v>222</v>
      </c>
      <c r="G98" s="17" t="s">
        <v>32</v>
      </c>
      <c r="H98" s="18">
        <v>10</v>
      </c>
      <c r="I98" s="28">
        <v>0</v>
      </c>
      <c r="J98" s="12">
        <f t="shared" si="2"/>
        <v>0</v>
      </c>
    </row>
    <row r="99" s="1" customFormat="1" ht="71.3" spans="1:10">
      <c r="A99" s="12">
        <v>96</v>
      </c>
      <c r="B99" s="13" t="s">
        <v>306</v>
      </c>
      <c r="C99" s="24" t="s">
        <v>309</v>
      </c>
      <c r="D99" s="12" t="str">
        <f>_xlfn.DISPIMG("ID_34B51BF8EE4E410E837C627D04125D45",1)</f>
        <v>=DISPIMG("ID_34B51BF8EE4E410E837C627D04125D45",1)</v>
      </c>
      <c r="E99" s="15" t="s">
        <v>310</v>
      </c>
      <c r="F99" s="16" t="s">
        <v>222</v>
      </c>
      <c r="G99" s="17" t="s">
        <v>32</v>
      </c>
      <c r="H99" s="18">
        <v>70</v>
      </c>
      <c r="I99" s="28">
        <v>0</v>
      </c>
      <c r="J99" s="12">
        <f t="shared" si="2"/>
        <v>0</v>
      </c>
    </row>
    <row r="100" s="1" customFormat="1" ht="67.5" spans="1:10">
      <c r="A100" s="12">
        <v>97</v>
      </c>
      <c r="B100" s="13" t="s">
        <v>311</v>
      </c>
      <c r="C100" s="24" t="s">
        <v>312</v>
      </c>
      <c r="D100" s="12" t="str">
        <f>_xlfn.DISPIMG("ID_E3F9FBB666714DC7A807EA85D173B5D7",1)</f>
        <v>=DISPIMG("ID_E3F9FBB666714DC7A807EA85D173B5D7",1)</v>
      </c>
      <c r="E100" s="15" t="s">
        <v>313</v>
      </c>
      <c r="F100" s="16" t="s">
        <v>222</v>
      </c>
      <c r="G100" s="17" t="s">
        <v>32</v>
      </c>
      <c r="H100" s="18">
        <v>17</v>
      </c>
      <c r="I100" s="28">
        <v>2</v>
      </c>
      <c r="J100" s="12">
        <f t="shared" si="2"/>
        <v>34</v>
      </c>
    </row>
    <row r="101" s="1" customFormat="1" ht="67.5" spans="1:10">
      <c r="A101" s="12">
        <v>98</v>
      </c>
      <c r="B101" s="13" t="s">
        <v>314</v>
      </c>
      <c r="C101" s="24" t="s">
        <v>315</v>
      </c>
      <c r="D101" s="12" t="str">
        <f>_xlfn.DISPIMG("ID_94B0A4EEA4504A52AF946738A7B01075",1)</f>
        <v>=DISPIMG("ID_94B0A4EEA4504A52AF946738A7B01075",1)</v>
      </c>
      <c r="E101" s="15" t="s">
        <v>316</v>
      </c>
      <c r="F101" s="16" t="s">
        <v>222</v>
      </c>
      <c r="G101" s="17" t="s">
        <v>32</v>
      </c>
      <c r="H101" s="18">
        <v>130</v>
      </c>
      <c r="I101" s="28">
        <v>1</v>
      </c>
      <c r="J101" s="12">
        <f t="shared" ref="J101:J138" si="3">I101*$H101</f>
        <v>130</v>
      </c>
    </row>
    <row r="102" s="1" customFormat="1" ht="81" spans="1:10">
      <c r="A102" s="12">
        <v>99</v>
      </c>
      <c r="B102" s="13" t="s">
        <v>317</v>
      </c>
      <c r="C102" s="24" t="s">
        <v>318</v>
      </c>
      <c r="D102" s="12" t="str">
        <f>_xlfn.DISPIMG("ID_1DDC16F7C0F64279B8F808669B55BB94",1)</f>
        <v>=DISPIMG("ID_1DDC16F7C0F64279B8F808669B55BB94",1)</v>
      </c>
      <c r="E102" s="15" t="s">
        <v>319</v>
      </c>
      <c r="F102" s="16" t="s">
        <v>222</v>
      </c>
      <c r="G102" s="17" t="s">
        <v>32</v>
      </c>
      <c r="H102" s="18">
        <v>70</v>
      </c>
      <c r="I102" s="28">
        <v>2</v>
      </c>
      <c r="J102" s="12">
        <f t="shared" si="3"/>
        <v>140</v>
      </c>
    </row>
    <row r="103" s="1" customFormat="1" ht="70.6" spans="1:10">
      <c r="A103" s="12">
        <v>100</v>
      </c>
      <c r="B103" s="13" t="s">
        <v>320</v>
      </c>
      <c r="C103" s="24" t="s">
        <v>321</v>
      </c>
      <c r="D103" s="12" t="str">
        <f>_xlfn.DISPIMG("ID_8074849451B748A99E85EA22191C9387",1)</f>
        <v>=DISPIMG("ID_8074849451B748A99E85EA22191C9387",1)</v>
      </c>
      <c r="E103" s="15" t="s">
        <v>322</v>
      </c>
      <c r="F103" s="16" t="s">
        <v>222</v>
      </c>
      <c r="G103" s="17" t="s">
        <v>136</v>
      </c>
      <c r="H103" s="18">
        <v>12</v>
      </c>
      <c r="I103" s="28">
        <v>9</v>
      </c>
      <c r="J103" s="12">
        <f t="shared" si="3"/>
        <v>108</v>
      </c>
    </row>
    <row r="104" s="1" customFormat="1" ht="69.8" spans="1:10">
      <c r="A104" s="12">
        <v>101</v>
      </c>
      <c r="B104" s="13" t="s">
        <v>323</v>
      </c>
      <c r="C104" s="24" t="s">
        <v>324</v>
      </c>
      <c r="D104" s="12" t="str">
        <f>_xlfn.DISPIMG("ID_CF863806BC3141D1BF33E8E51F27CC95",1)</f>
        <v>=DISPIMG("ID_CF863806BC3141D1BF33E8E51F27CC95",1)</v>
      </c>
      <c r="E104" s="15" t="s">
        <v>325</v>
      </c>
      <c r="F104" s="16" t="s">
        <v>222</v>
      </c>
      <c r="G104" s="17" t="s">
        <v>136</v>
      </c>
      <c r="H104" s="18">
        <v>13</v>
      </c>
      <c r="I104" s="28">
        <v>14</v>
      </c>
      <c r="J104" s="12">
        <f t="shared" si="3"/>
        <v>182</v>
      </c>
    </row>
    <row r="105" s="1" customFormat="1" ht="68.3" spans="1:10">
      <c r="A105" s="12">
        <v>102</v>
      </c>
      <c r="B105" s="13" t="s">
        <v>326</v>
      </c>
      <c r="C105" s="24" t="s">
        <v>327</v>
      </c>
      <c r="D105" s="12" t="str">
        <f>_xlfn.DISPIMG("ID_4DC26CDD197F45AD8A23CBDF17E39EE5",1)</f>
        <v>=DISPIMG("ID_4DC26CDD197F45AD8A23CBDF17E39EE5",1)</v>
      </c>
      <c r="E105" s="15" t="s">
        <v>328</v>
      </c>
      <c r="F105" s="16" t="s">
        <v>222</v>
      </c>
      <c r="G105" s="17" t="s">
        <v>32</v>
      </c>
      <c r="H105" s="18">
        <v>2</v>
      </c>
      <c r="I105" s="28">
        <v>15</v>
      </c>
      <c r="J105" s="12">
        <f t="shared" si="3"/>
        <v>30</v>
      </c>
    </row>
    <row r="106" s="1" customFormat="1" ht="69.8" spans="1:10">
      <c r="A106" s="12">
        <v>103</v>
      </c>
      <c r="B106" s="13" t="s">
        <v>329</v>
      </c>
      <c r="C106" s="24" t="s">
        <v>330</v>
      </c>
      <c r="D106" s="12" t="str">
        <f>_xlfn.DISPIMG("ID_530D7946C19C4C5E9DBC0815FAA514E4",1)</f>
        <v>=DISPIMG("ID_530D7946C19C4C5E9DBC0815FAA514E4",1)</v>
      </c>
      <c r="E106" s="15" t="s">
        <v>331</v>
      </c>
      <c r="F106" s="16" t="s">
        <v>222</v>
      </c>
      <c r="G106" s="17" t="s">
        <v>136</v>
      </c>
      <c r="H106" s="18">
        <v>4</v>
      </c>
      <c r="I106" s="28">
        <v>11</v>
      </c>
      <c r="J106" s="12">
        <f t="shared" si="3"/>
        <v>44</v>
      </c>
    </row>
    <row r="107" s="1" customFormat="1" ht="69.05" spans="1:10">
      <c r="A107" s="12">
        <v>104</v>
      </c>
      <c r="B107" s="13" t="s">
        <v>332</v>
      </c>
      <c r="C107" s="24" t="s">
        <v>333</v>
      </c>
      <c r="D107" s="12" t="str">
        <f>_xlfn.DISPIMG("ID_D7D9858109414B9FA300156845555DA3",1)</f>
        <v>=DISPIMG("ID_D7D9858109414B9FA300156845555DA3",1)</v>
      </c>
      <c r="E107" s="15" t="s">
        <v>334</v>
      </c>
      <c r="F107" s="16" t="s">
        <v>222</v>
      </c>
      <c r="G107" s="17" t="s">
        <v>293</v>
      </c>
      <c r="H107" s="18">
        <v>3</v>
      </c>
      <c r="I107" s="28">
        <v>13</v>
      </c>
      <c r="J107" s="12">
        <f t="shared" si="3"/>
        <v>39</v>
      </c>
    </row>
    <row r="108" s="1" customFormat="1" ht="94.5" spans="1:10">
      <c r="A108" s="12">
        <v>105</v>
      </c>
      <c r="B108" s="13" t="s">
        <v>335</v>
      </c>
      <c r="C108" s="24" t="s">
        <v>336</v>
      </c>
      <c r="D108" s="12" t="str">
        <f>_xlfn.DISPIMG("ID_0479B533D68043429BB45AE98094544A",1)</f>
        <v>=DISPIMG("ID_0479B533D68043429BB45AE98094544A",1)</v>
      </c>
      <c r="E108" s="15" t="s">
        <v>337</v>
      </c>
      <c r="F108" s="16" t="s">
        <v>222</v>
      </c>
      <c r="G108" s="17" t="s">
        <v>32</v>
      </c>
      <c r="H108" s="18">
        <v>25</v>
      </c>
      <c r="I108" s="28">
        <v>1</v>
      </c>
      <c r="J108" s="12">
        <f t="shared" si="3"/>
        <v>25</v>
      </c>
    </row>
    <row r="109" s="1" customFormat="1" ht="81" spans="1:10">
      <c r="A109" s="12">
        <v>106</v>
      </c>
      <c r="B109" s="13" t="s">
        <v>338</v>
      </c>
      <c r="C109" s="24" t="s">
        <v>339</v>
      </c>
      <c r="D109" s="12" t="str">
        <f>_xlfn.DISPIMG("ID_93DA4F55563A435D8C38865D6B4ABF1C",1)</f>
        <v>=DISPIMG("ID_93DA4F55563A435D8C38865D6B4ABF1C",1)</v>
      </c>
      <c r="E109" s="15" t="s">
        <v>340</v>
      </c>
      <c r="F109" s="16" t="s">
        <v>222</v>
      </c>
      <c r="G109" s="17" t="s">
        <v>32</v>
      </c>
      <c r="H109" s="18">
        <v>1</v>
      </c>
      <c r="I109" s="28">
        <v>22</v>
      </c>
      <c r="J109" s="12">
        <f t="shared" si="3"/>
        <v>22</v>
      </c>
    </row>
    <row r="110" s="1" customFormat="1" ht="121.5" spans="1:10">
      <c r="A110" s="12">
        <v>107</v>
      </c>
      <c r="B110" s="13" t="s">
        <v>341</v>
      </c>
      <c r="C110" s="24" t="s">
        <v>342</v>
      </c>
      <c r="D110" s="12" t="str">
        <f>_xlfn.DISPIMG("ID_130E1CE10B084990B268A0832296CAAB",1)</f>
        <v>=DISPIMG("ID_130E1CE10B084990B268A0832296CAAB",1)</v>
      </c>
      <c r="E110" s="15" t="s">
        <v>343</v>
      </c>
      <c r="F110" s="16" t="s">
        <v>237</v>
      </c>
      <c r="G110" s="17" t="s">
        <v>32</v>
      </c>
      <c r="H110" s="18">
        <v>32</v>
      </c>
      <c r="I110" s="28">
        <v>2</v>
      </c>
      <c r="J110" s="12">
        <f t="shared" si="3"/>
        <v>64</v>
      </c>
    </row>
    <row r="111" s="1" customFormat="1" ht="81" spans="1:10">
      <c r="A111" s="12">
        <v>108</v>
      </c>
      <c r="B111" s="13" t="s">
        <v>344</v>
      </c>
      <c r="C111" s="24" t="s">
        <v>345</v>
      </c>
      <c r="D111" s="12" t="str">
        <f>_xlfn.DISPIMG("ID_4DE8F83A9A4347A28E67B46567872F68",1)</f>
        <v>=DISPIMG("ID_4DE8F83A9A4347A28E67B46567872F68",1)</v>
      </c>
      <c r="E111" s="15" t="s">
        <v>346</v>
      </c>
      <c r="F111" s="16" t="s">
        <v>237</v>
      </c>
      <c r="G111" s="17" t="s">
        <v>32</v>
      </c>
      <c r="H111" s="18">
        <v>50</v>
      </c>
      <c r="I111" s="28">
        <v>2</v>
      </c>
      <c r="J111" s="12">
        <f t="shared" si="3"/>
        <v>100</v>
      </c>
    </row>
    <row r="112" s="1" customFormat="1" ht="71.9" spans="1:10">
      <c r="A112" s="12">
        <v>109</v>
      </c>
      <c r="B112" s="13" t="s">
        <v>347</v>
      </c>
      <c r="C112" s="24" t="s">
        <v>348</v>
      </c>
      <c r="D112" s="12" t="str">
        <f>_xlfn.DISPIMG("ID_21841BBC577847DF8AFE4F8EAF602A61",1)</f>
        <v>=DISPIMG("ID_21841BBC577847DF8AFE4F8EAF602A61",1)</v>
      </c>
      <c r="E112" s="15" t="s">
        <v>349</v>
      </c>
      <c r="F112" s="16" t="s">
        <v>237</v>
      </c>
      <c r="G112" s="17" t="s">
        <v>105</v>
      </c>
      <c r="H112" s="18">
        <v>20</v>
      </c>
      <c r="I112" s="28">
        <v>11</v>
      </c>
      <c r="J112" s="12">
        <f t="shared" si="3"/>
        <v>220</v>
      </c>
    </row>
    <row r="113" s="1" customFormat="1" ht="69.75" spans="1:10">
      <c r="A113" s="12">
        <v>110</v>
      </c>
      <c r="B113" s="31" t="s">
        <v>350</v>
      </c>
      <c r="C113" s="24" t="s">
        <v>351</v>
      </c>
      <c r="D113" s="12" t="str">
        <f>_xlfn.DISPIMG("ID_BEDC89CB9C2A4AE28029FE9D49014842",1)</f>
        <v>=DISPIMG("ID_BEDC89CB9C2A4AE28029FE9D49014842",1)</v>
      </c>
      <c r="E113" s="15" t="s">
        <v>352</v>
      </c>
      <c r="F113" s="16" t="s">
        <v>237</v>
      </c>
      <c r="G113" s="32" t="s">
        <v>32</v>
      </c>
      <c r="H113" s="18">
        <v>120</v>
      </c>
      <c r="I113" s="28">
        <v>1</v>
      </c>
      <c r="J113" s="12">
        <f t="shared" si="3"/>
        <v>120</v>
      </c>
    </row>
    <row r="114" s="1" customFormat="1" ht="71.25" spans="1:10">
      <c r="A114" s="12">
        <v>111</v>
      </c>
      <c r="B114" s="31" t="s">
        <v>353</v>
      </c>
      <c r="C114" s="24" t="s">
        <v>354</v>
      </c>
      <c r="D114" s="12" t="str">
        <f>_xlfn.DISPIMG("ID_A57FD4D557DF44F183C9B93815A36E67",1)</f>
        <v>=DISPIMG("ID_A57FD4D557DF44F183C9B93815A36E67",1)</v>
      </c>
      <c r="E114" s="15" t="s">
        <v>355</v>
      </c>
      <c r="F114" s="16" t="s">
        <v>237</v>
      </c>
      <c r="G114" s="32" t="s">
        <v>289</v>
      </c>
      <c r="H114" s="18">
        <v>35</v>
      </c>
      <c r="I114" s="28">
        <v>0</v>
      </c>
      <c r="J114" s="12">
        <f t="shared" si="3"/>
        <v>0</v>
      </c>
    </row>
    <row r="115" s="1" customFormat="1" ht="73.5" spans="1:10">
      <c r="A115" s="12">
        <v>112</v>
      </c>
      <c r="B115" s="34" t="s">
        <v>356</v>
      </c>
      <c r="C115" s="24" t="s">
        <v>357</v>
      </c>
      <c r="D115" s="12" t="str">
        <f>_xlfn.DISPIMG("ID_D7B06D064E174DE080AAB79EBF14AFAB",1)</f>
        <v>=DISPIMG("ID_D7B06D064E174DE080AAB79EBF14AFAB",1)</v>
      </c>
      <c r="E115" s="15" t="s">
        <v>358</v>
      </c>
      <c r="F115" s="16" t="s">
        <v>237</v>
      </c>
      <c r="G115" s="17" t="s">
        <v>359</v>
      </c>
      <c r="H115" s="18">
        <v>2</v>
      </c>
      <c r="I115" s="28">
        <v>0</v>
      </c>
      <c r="J115" s="12">
        <f t="shared" si="3"/>
        <v>0</v>
      </c>
    </row>
    <row r="116" s="1" customFormat="1" ht="94.5" spans="1:10">
      <c r="A116" s="12">
        <v>113</v>
      </c>
      <c r="B116" s="12" t="s">
        <v>360</v>
      </c>
      <c r="C116" s="24" t="s">
        <v>361</v>
      </c>
      <c r="D116" s="12" t="str">
        <f>_xlfn.DISPIMG("ID_EC475B5A0A3042A0905B68484B5FD631",1)</f>
        <v>=DISPIMG("ID_EC475B5A0A3042A0905B68484B5FD631",1)</v>
      </c>
      <c r="E116" s="15" t="s">
        <v>362</v>
      </c>
      <c r="F116" s="16" t="s">
        <v>237</v>
      </c>
      <c r="G116" s="30" t="s">
        <v>285</v>
      </c>
      <c r="H116" s="18">
        <v>110</v>
      </c>
      <c r="I116" s="28">
        <v>0</v>
      </c>
      <c r="J116" s="12">
        <f t="shared" si="3"/>
        <v>0</v>
      </c>
    </row>
    <row r="117" s="1" customFormat="1" ht="94.5" spans="1:10">
      <c r="A117" s="12">
        <v>114</v>
      </c>
      <c r="B117" s="12" t="s">
        <v>363</v>
      </c>
      <c r="C117" s="24" t="s">
        <v>364</v>
      </c>
      <c r="D117" s="12" t="str">
        <f>_xlfn.DISPIMG("ID_B3285F8A5BFE4D1DB3333813CC49E8ED",1)</f>
        <v>=DISPIMG("ID_B3285F8A5BFE4D1DB3333813CC49E8ED",1)</v>
      </c>
      <c r="E117" s="15" t="s">
        <v>365</v>
      </c>
      <c r="F117" s="16" t="s">
        <v>237</v>
      </c>
      <c r="G117" s="30" t="s">
        <v>285</v>
      </c>
      <c r="H117" s="18">
        <v>80</v>
      </c>
      <c r="I117" s="28">
        <v>0</v>
      </c>
      <c r="J117" s="12">
        <f t="shared" si="3"/>
        <v>0</v>
      </c>
    </row>
    <row r="118" s="1" customFormat="1" ht="64.95" spans="1:10">
      <c r="A118" s="12">
        <v>115</v>
      </c>
      <c r="B118" s="31" t="s">
        <v>366</v>
      </c>
      <c r="C118" s="24" t="s">
        <v>367</v>
      </c>
      <c r="D118" s="12" t="str">
        <f>_xlfn.DISPIMG("ID_03070F93590E443AAC3B0D75658D4BB1",1)</f>
        <v>=DISPIMG("ID_03070F93590E443AAC3B0D75658D4BB1",1)</v>
      </c>
      <c r="E118" s="15" t="s">
        <v>368</v>
      </c>
      <c r="F118" s="16" t="s">
        <v>369</v>
      </c>
      <c r="G118" s="32" t="s">
        <v>51</v>
      </c>
      <c r="H118" s="21">
        <v>1</v>
      </c>
      <c r="I118" s="28">
        <v>10</v>
      </c>
      <c r="J118" s="12">
        <f t="shared" si="3"/>
        <v>10</v>
      </c>
    </row>
    <row r="119" s="1" customFormat="1" ht="70.3" spans="1:10">
      <c r="A119" s="12">
        <v>116</v>
      </c>
      <c r="B119" s="31" t="s">
        <v>370</v>
      </c>
      <c r="C119" s="24" t="s">
        <v>371</v>
      </c>
      <c r="D119" s="12" t="str">
        <f>_xlfn.DISPIMG("ID_D87EFF9913104FEFAB8A300E0CE0BEEE",1)</f>
        <v>=DISPIMG("ID_D87EFF9913104FEFAB8A300E0CE0BEEE",1)</v>
      </c>
      <c r="E119" s="15" t="s">
        <v>372</v>
      </c>
      <c r="F119" s="16" t="s">
        <v>369</v>
      </c>
      <c r="G119" s="32" t="s">
        <v>32</v>
      </c>
      <c r="H119" s="21">
        <v>0.5</v>
      </c>
      <c r="I119" s="28">
        <v>0</v>
      </c>
      <c r="J119" s="12">
        <f t="shared" si="3"/>
        <v>0</v>
      </c>
    </row>
    <row r="120" s="1" customFormat="1" ht="69.7" spans="1:10">
      <c r="A120" s="12">
        <v>117</v>
      </c>
      <c r="B120" s="31" t="s">
        <v>373</v>
      </c>
      <c r="C120" s="24" t="s">
        <v>374</v>
      </c>
      <c r="D120" s="12" t="str">
        <f>_xlfn.DISPIMG("ID_56A70DFCF1154D1CA309D08CA7A223C0",1)</f>
        <v>=DISPIMG("ID_56A70DFCF1154D1CA309D08CA7A223C0",1)</v>
      </c>
      <c r="E120" s="15" t="s">
        <v>372</v>
      </c>
      <c r="F120" s="16" t="s">
        <v>369</v>
      </c>
      <c r="G120" s="32" t="s">
        <v>293</v>
      </c>
      <c r="H120" s="21">
        <v>0.5</v>
      </c>
      <c r="I120" s="28">
        <v>0</v>
      </c>
      <c r="J120" s="12">
        <f t="shared" si="3"/>
        <v>0</v>
      </c>
    </row>
    <row r="121" s="1" customFormat="1" ht="81" spans="1:10">
      <c r="A121" s="12">
        <v>118</v>
      </c>
      <c r="B121" s="31" t="s">
        <v>375</v>
      </c>
      <c r="C121" s="24" t="s">
        <v>376</v>
      </c>
      <c r="D121" s="12" t="str">
        <f>_xlfn.DISPIMG("ID_A2E764EC58B84C92A4C3487878375969",1)</f>
        <v>=DISPIMG("ID_A2E764EC58B84C92A4C3487878375969",1)</v>
      </c>
      <c r="E121" s="15" t="s">
        <v>377</v>
      </c>
      <c r="F121" s="16" t="s">
        <v>369</v>
      </c>
      <c r="G121" s="32" t="s">
        <v>136</v>
      </c>
      <c r="H121" s="21">
        <v>30</v>
      </c>
      <c r="I121" s="28">
        <v>0</v>
      </c>
      <c r="J121" s="12">
        <f t="shared" si="3"/>
        <v>0</v>
      </c>
    </row>
    <row r="122" s="1" customFormat="1" ht="66.95" spans="1:10">
      <c r="A122" s="12">
        <v>119</v>
      </c>
      <c r="B122" s="31" t="s">
        <v>378</v>
      </c>
      <c r="C122" s="24" t="s">
        <v>379</v>
      </c>
      <c r="D122" s="12" t="str">
        <f>_xlfn.DISPIMG("ID_B34CCB0A25FB48A5BB9854350E74E0AA",1)</f>
        <v>=DISPIMG("ID_B34CCB0A25FB48A5BB9854350E74E0AA",1)</v>
      </c>
      <c r="E122" s="15" t="s">
        <v>377</v>
      </c>
      <c r="F122" s="16" t="s">
        <v>369</v>
      </c>
      <c r="G122" s="32" t="s">
        <v>136</v>
      </c>
      <c r="H122" s="21">
        <v>8</v>
      </c>
      <c r="I122" s="28">
        <v>0</v>
      </c>
      <c r="J122" s="12">
        <f t="shared" si="3"/>
        <v>0</v>
      </c>
    </row>
    <row r="123" s="1" customFormat="1" ht="121.5" spans="1:10">
      <c r="A123" s="12">
        <v>120</v>
      </c>
      <c r="B123" s="31" t="s">
        <v>380</v>
      </c>
      <c r="C123" s="24" t="s">
        <v>381</v>
      </c>
      <c r="D123" s="12" t="str">
        <f>_xlfn.DISPIMG("ID_BE9404A017D341A9AA4401B9B53A8DF7",1)</f>
        <v>=DISPIMG("ID_BE9404A017D341A9AA4401B9B53A8DF7",1)</v>
      </c>
      <c r="E123" s="15" t="s">
        <v>377</v>
      </c>
      <c r="F123" s="16" t="s">
        <v>369</v>
      </c>
      <c r="G123" s="32" t="s">
        <v>32</v>
      </c>
      <c r="H123" s="21">
        <v>8</v>
      </c>
      <c r="I123" s="28">
        <v>0</v>
      </c>
      <c r="J123" s="12">
        <f t="shared" si="3"/>
        <v>0</v>
      </c>
    </row>
    <row r="124" s="1" customFormat="1" ht="65.35" spans="1:10">
      <c r="A124" s="12">
        <v>121</v>
      </c>
      <c r="B124" s="31" t="s">
        <v>382</v>
      </c>
      <c r="C124" s="24" t="s">
        <v>383</v>
      </c>
      <c r="D124" s="12" t="str">
        <f>_xlfn.DISPIMG("ID_F2E299BEBB9A4FCCA49E26226E3B65E3",1)</f>
        <v>=DISPIMG("ID_F2E299BEBB9A4FCCA49E26226E3B65E3",1)</v>
      </c>
      <c r="E124" s="15" t="s">
        <v>377</v>
      </c>
      <c r="F124" s="16" t="s">
        <v>369</v>
      </c>
      <c r="G124" s="32" t="s">
        <v>32</v>
      </c>
      <c r="H124" s="21">
        <v>0.5</v>
      </c>
      <c r="I124" s="28">
        <v>0</v>
      </c>
      <c r="J124" s="12">
        <f t="shared" si="3"/>
        <v>0</v>
      </c>
    </row>
    <row r="125" s="1" customFormat="1" ht="81" spans="1:10">
      <c r="A125" s="12">
        <v>122</v>
      </c>
      <c r="B125" s="31" t="s">
        <v>384</v>
      </c>
      <c r="C125" s="24" t="s">
        <v>385</v>
      </c>
      <c r="D125" s="12" t="str">
        <f>_xlfn.DISPIMG("ID_AAA3E5B5B8724613A0A3DA3E7D9119B6",1)</f>
        <v>=DISPIMG("ID_AAA3E5B5B8724613A0A3DA3E7D9119B6",1)</v>
      </c>
      <c r="E125" s="15" t="s">
        <v>386</v>
      </c>
      <c r="F125" s="16" t="s">
        <v>27</v>
      </c>
      <c r="G125" s="32" t="s">
        <v>32</v>
      </c>
      <c r="H125" s="21">
        <v>15</v>
      </c>
      <c r="I125" s="28">
        <v>14</v>
      </c>
      <c r="J125" s="12">
        <f t="shared" si="3"/>
        <v>210</v>
      </c>
    </row>
    <row r="126" s="1" customFormat="1" ht="175.5" spans="1:10">
      <c r="A126" s="12">
        <v>123</v>
      </c>
      <c r="B126" s="31" t="s">
        <v>387</v>
      </c>
      <c r="C126" s="24" t="s">
        <v>388</v>
      </c>
      <c r="D126" s="12" t="str">
        <f>_xlfn.DISPIMG("ID_56D3A9B401904528A82C8D0260DE3C49",1)</f>
        <v>=DISPIMG("ID_56D3A9B401904528A82C8D0260DE3C49",1)</v>
      </c>
      <c r="E126" s="15" t="s">
        <v>389</v>
      </c>
      <c r="F126" s="16" t="s">
        <v>369</v>
      </c>
      <c r="G126" s="32" t="s">
        <v>28</v>
      </c>
      <c r="H126" s="21">
        <v>300</v>
      </c>
      <c r="I126" s="28">
        <v>1</v>
      </c>
      <c r="J126" s="12">
        <f t="shared" si="3"/>
        <v>300</v>
      </c>
    </row>
    <row r="127" s="1" customFormat="1" ht="81" spans="1:10">
      <c r="A127" s="12">
        <v>124</v>
      </c>
      <c r="B127" s="31" t="s">
        <v>390</v>
      </c>
      <c r="C127" s="24" t="s">
        <v>391</v>
      </c>
      <c r="D127" s="12" t="str">
        <f>_xlfn.DISPIMG("ID_079FA1969C2D4363BB8E3CDB8BC42396",1)</f>
        <v>=DISPIMG("ID_079FA1969C2D4363BB8E3CDB8BC42396",1)</v>
      </c>
      <c r="E127" s="15" t="s">
        <v>372</v>
      </c>
      <c r="F127" s="16" t="s">
        <v>218</v>
      </c>
      <c r="G127" s="32" t="s">
        <v>293</v>
      </c>
      <c r="H127" s="21">
        <v>18</v>
      </c>
      <c r="I127" s="28">
        <v>0</v>
      </c>
      <c r="J127" s="12">
        <f t="shared" si="3"/>
        <v>0</v>
      </c>
    </row>
    <row r="128" s="1" customFormat="1" ht="81" spans="1:10">
      <c r="A128" s="12">
        <v>125</v>
      </c>
      <c r="B128" s="31" t="s">
        <v>392</v>
      </c>
      <c r="C128" s="24" t="s">
        <v>393</v>
      </c>
      <c r="D128" s="12" t="str">
        <f>_xlfn.DISPIMG("ID_3F8734826EDC4370902C8D7234062353",1)</f>
        <v>=DISPIMG("ID_3F8734826EDC4370902C8D7234062353",1)</v>
      </c>
      <c r="E128" s="15"/>
      <c r="F128" s="16" t="s">
        <v>15</v>
      </c>
      <c r="G128" s="32" t="s">
        <v>149</v>
      </c>
      <c r="H128" s="21">
        <v>7</v>
      </c>
      <c r="I128" s="28">
        <v>16</v>
      </c>
      <c r="J128" s="12">
        <f t="shared" si="3"/>
        <v>112</v>
      </c>
    </row>
    <row r="129" s="1" customFormat="1" ht="94.5" spans="1:10">
      <c r="A129" s="12">
        <v>126</v>
      </c>
      <c r="B129" s="31" t="s">
        <v>394</v>
      </c>
      <c r="C129" s="24" t="s">
        <v>395</v>
      </c>
      <c r="D129" s="35" t="str">
        <f>_xlfn.DISPIMG("ID_25B559B20EDB46A1BC1616F9419CC4E0",1)</f>
        <v>=DISPIMG("ID_25B559B20EDB46A1BC1616F9419CC4E0",1)</v>
      </c>
      <c r="E129" s="15" t="s">
        <v>386</v>
      </c>
      <c r="F129" s="16" t="s">
        <v>396</v>
      </c>
      <c r="G129" s="32" t="s">
        <v>136</v>
      </c>
      <c r="H129" s="21">
        <v>60</v>
      </c>
      <c r="I129" s="28">
        <v>0</v>
      </c>
      <c r="J129" s="12">
        <f t="shared" si="3"/>
        <v>0</v>
      </c>
    </row>
    <row r="130" s="1" customFormat="1" ht="121.5" spans="1:10">
      <c r="A130" s="12">
        <v>127</v>
      </c>
      <c r="B130" s="31" t="s">
        <v>397</v>
      </c>
      <c r="C130" s="24" t="s">
        <v>398</v>
      </c>
      <c r="D130" s="35" t="str">
        <f>_xlfn.DISPIMG("ID_077B0075EAFB4D9FBD06B0D9BBE5DD35",1)</f>
        <v>=DISPIMG("ID_077B0075EAFB4D9FBD06B0D9BBE5DD35",1)</v>
      </c>
      <c r="E130" s="15" t="s">
        <v>386</v>
      </c>
      <c r="F130" s="16" t="s">
        <v>396</v>
      </c>
      <c r="G130" s="32" t="s">
        <v>32</v>
      </c>
      <c r="H130" s="21">
        <v>25</v>
      </c>
      <c r="I130" s="28">
        <v>0</v>
      </c>
      <c r="J130" s="12">
        <f t="shared" si="3"/>
        <v>0</v>
      </c>
    </row>
    <row r="131" s="1" customFormat="1" ht="175.5" spans="1:10">
      <c r="A131" s="12">
        <v>128</v>
      </c>
      <c r="B131" s="31" t="s">
        <v>399</v>
      </c>
      <c r="C131" s="24" t="s">
        <v>400</v>
      </c>
      <c r="D131" s="35" t="str">
        <f>_xlfn.DISPIMG("ID_FB15C2D810BE4CBEB63EE2DA4B922EA2",1)</f>
        <v>=DISPIMG("ID_FB15C2D810BE4CBEB63EE2DA4B922EA2",1)</v>
      </c>
      <c r="E131" s="15" t="s">
        <v>401</v>
      </c>
      <c r="F131" s="16" t="s">
        <v>396</v>
      </c>
      <c r="G131" s="32" t="s">
        <v>32</v>
      </c>
      <c r="H131" s="21">
        <v>80</v>
      </c>
      <c r="I131" s="28">
        <v>0</v>
      </c>
      <c r="J131" s="12">
        <f t="shared" si="3"/>
        <v>0</v>
      </c>
    </row>
    <row r="132" s="1" customFormat="1" ht="94.5" spans="1:10">
      <c r="A132" s="12">
        <v>129</v>
      </c>
      <c r="B132" s="31" t="s">
        <v>402</v>
      </c>
      <c r="C132" s="24" t="s">
        <v>403</v>
      </c>
      <c r="D132" s="35" t="str">
        <f>_xlfn.DISPIMG("ID_54F8ADCAC23448AA88AACB7B95B3135D",1)</f>
        <v>=DISPIMG("ID_54F8ADCAC23448AA88AACB7B95B3135D",1)</v>
      </c>
      <c r="E132" s="15" t="s">
        <v>386</v>
      </c>
      <c r="F132" s="16" t="s">
        <v>396</v>
      </c>
      <c r="G132" s="32" t="s">
        <v>32</v>
      </c>
      <c r="H132" s="21">
        <v>15</v>
      </c>
      <c r="I132" s="28">
        <v>0</v>
      </c>
      <c r="J132" s="12">
        <f t="shared" si="3"/>
        <v>0</v>
      </c>
    </row>
    <row r="133" s="1" customFormat="1" ht="108" spans="1:10">
      <c r="A133" s="12">
        <v>130</v>
      </c>
      <c r="B133" s="31" t="s">
        <v>404</v>
      </c>
      <c r="C133" s="24" t="s">
        <v>405</v>
      </c>
      <c r="D133" s="25" t="str">
        <f>_xlfn.DISPIMG("ID_32F97FB7F7454E129D3B4E7A01EBAF1B",1)</f>
        <v>=DISPIMG("ID_32F97FB7F7454E129D3B4E7A01EBAF1B",1)</v>
      </c>
      <c r="E133" s="15" t="s">
        <v>406</v>
      </c>
      <c r="F133" s="16" t="s">
        <v>369</v>
      </c>
      <c r="G133" s="32" t="s">
        <v>32</v>
      </c>
      <c r="H133" s="21">
        <v>55</v>
      </c>
      <c r="I133" s="28">
        <v>0</v>
      </c>
      <c r="J133" s="12">
        <f t="shared" si="3"/>
        <v>0</v>
      </c>
    </row>
    <row r="134" s="1" customFormat="1" ht="94.5" spans="1:10">
      <c r="A134" s="12">
        <v>131</v>
      </c>
      <c r="B134" s="13" t="s">
        <v>407</v>
      </c>
      <c r="C134" s="24" t="s">
        <v>408</v>
      </c>
      <c r="D134" s="35" t="str">
        <f t="shared" ref="D134:D136" si="4">_xlfn.DISPIMG("ID_B08E024290F14C0193A3BF44A949C799",1)</f>
        <v>=DISPIMG("ID_B08E024290F14C0193A3BF44A949C799",1)</v>
      </c>
      <c r="E134" s="15" t="s">
        <v>409</v>
      </c>
      <c r="F134" s="16" t="s">
        <v>222</v>
      </c>
      <c r="G134" s="17" t="s">
        <v>32</v>
      </c>
      <c r="H134" s="21">
        <v>850</v>
      </c>
      <c r="I134" s="28">
        <v>2</v>
      </c>
      <c r="J134" s="12">
        <f t="shared" si="3"/>
        <v>1700</v>
      </c>
    </row>
    <row r="135" s="1" customFormat="1" ht="94.5" spans="1:10">
      <c r="A135" s="12">
        <v>132</v>
      </c>
      <c r="B135" s="13" t="s">
        <v>407</v>
      </c>
      <c r="C135" s="24" t="s">
        <v>410</v>
      </c>
      <c r="D135" s="35" t="str">
        <f t="shared" si="4"/>
        <v>=DISPIMG("ID_B08E024290F14C0193A3BF44A949C799",1)</v>
      </c>
      <c r="E135" s="15" t="s">
        <v>411</v>
      </c>
      <c r="F135" s="16" t="s">
        <v>222</v>
      </c>
      <c r="G135" s="17" t="s">
        <v>32</v>
      </c>
      <c r="H135" s="21">
        <v>350</v>
      </c>
      <c r="I135" s="28">
        <v>1</v>
      </c>
      <c r="J135" s="12">
        <f t="shared" si="3"/>
        <v>350</v>
      </c>
    </row>
    <row r="136" s="1" customFormat="1" ht="94.5" spans="1:10">
      <c r="A136" s="12">
        <v>133</v>
      </c>
      <c r="B136" s="13" t="s">
        <v>407</v>
      </c>
      <c r="C136" s="24" t="s">
        <v>412</v>
      </c>
      <c r="D136" s="35" t="str">
        <f t="shared" si="4"/>
        <v>=DISPIMG("ID_B08E024290F14C0193A3BF44A949C799",1)</v>
      </c>
      <c r="E136" s="15" t="s">
        <v>413</v>
      </c>
      <c r="F136" s="16" t="s">
        <v>222</v>
      </c>
      <c r="G136" s="17" t="s">
        <v>32</v>
      </c>
      <c r="H136" s="21">
        <v>300</v>
      </c>
      <c r="I136" s="28">
        <v>0</v>
      </c>
      <c r="J136" s="12">
        <f t="shared" si="3"/>
        <v>0</v>
      </c>
    </row>
    <row r="137" s="1" customFormat="1" ht="67.5" spans="1:10">
      <c r="A137" s="12">
        <v>134</v>
      </c>
      <c r="B137" s="13" t="s">
        <v>414</v>
      </c>
      <c r="C137" s="24" t="s">
        <v>415</v>
      </c>
      <c r="D137" s="35" t="str">
        <f>_xlfn.DISPIMG("ID_34304925CE3B4BDAA3A85D258782C154",1)</f>
        <v>=DISPIMG("ID_34304925CE3B4BDAA3A85D258782C154",1)</v>
      </c>
      <c r="E137" s="15" t="s">
        <v>416</v>
      </c>
      <c r="F137" s="16" t="s">
        <v>417</v>
      </c>
      <c r="G137" s="17" t="s">
        <v>32</v>
      </c>
      <c r="H137" s="21">
        <v>650</v>
      </c>
      <c r="I137" s="28">
        <v>0</v>
      </c>
      <c r="J137" s="12">
        <f t="shared" si="3"/>
        <v>0</v>
      </c>
    </row>
    <row r="138" s="1" customFormat="1" ht="67.5" spans="1:10">
      <c r="A138" s="12">
        <v>135</v>
      </c>
      <c r="B138" s="13" t="s">
        <v>418</v>
      </c>
      <c r="C138" s="24" t="s">
        <v>419</v>
      </c>
      <c r="D138" s="36" t="str">
        <f>_xlfn.DISPIMG("ID_9821B8FD4421474D8004DD3FB07190B4",1)</f>
        <v>=DISPIMG("ID_9821B8FD4421474D8004DD3FB07190B4",1)</v>
      </c>
      <c r="E138" s="15" t="s">
        <v>420</v>
      </c>
      <c r="F138" s="16" t="s">
        <v>421</v>
      </c>
      <c r="G138" s="17" t="s">
        <v>32</v>
      </c>
      <c r="H138" s="21">
        <v>7.5</v>
      </c>
      <c r="I138" s="28">
        <v>6</v>
      </c>
      <c r="J138" s="12">
        <f t="shared" si="3"/>
        <v>45</v>
      </c>
    </row>
    <row r="139" s="1" customFormat="1" ht="94.5" spans="1:10">
      <c r="A139" s="12">
        <v>136</v>
      </c>
      <c r="B139" s="13" t="s">
        <v>422</v>
      </c>
      <c r="C139" s="24" t="s">
        <v>423</v>
      </c>
      <c r="D139" s="35" t="str">
        <f>_xlfn.DISPIMG("ID_C79658CC40D74A6F969837EC6653CBF2",1)</f>
        <v>=DISPIMG("ID_C79658CC40D74A6F969837EC6653CBF2",1)</v>
      </c>
      <c r="E139" s="15" t="s">
        <v>424</v>
      </c>
      <c r="F139" s="16"/>
      <c r="G139" s="17" t="s">
        <v>32</v>
      </c>
      <c r="H139" s="21">
        <v>125</v>
      </c>
      <c r="I139" s="28">
        <v>0</v>
      </c>
      <c r="J139" s="12">
        <f t="shared" ref="J139:J168" si="5">I139*$H139</f>
        <v>0</v>
      </c>
    </row>
    <row r="140" ht="54" spans="1:10">
      <c r="A140" s="12">
        <v>137</v>
      </c>
      <c r="B140" s="12" t="s">
        <v>425</v>
      </c>
      <c r="C140" s="24" t="s">
        <v>426</v>
      </c>
      <c r="D140" s="35" t="str">
        <f>_xlfn.DISPIMG("ID_3777ABF8C42B4A5790F5C431E8113468",1)</f>
        <v>=DISPIMG("ID_3777ABF8C42B4A5790F5C431E8113468",1)</v>
      </c>
      <c r="E140" s="15" t="s">
        <v>427</v>
      </c>
      <c r="F140" s="30" t="s">
        <v>428</v>
      </c>
      <c r="G140" s="30" t="s">
        <v>429</v>
      </c>
      <c r="H140" s="21">
        <v>3.5</v>
      </c>
      <c r="I140" s="28">
        <v>0</v>
      </c>
      <c r="J140" s="12">
        <f t="shared" si="5"/>
        <v>0</v>
      </c>
    </row>
    <row r="141" ht="54" spans="1:10">
      <c r="A141" s="12">
        <v>138</v>
      </c>
      <c r="B141" s="12" t="s">
        <v>425</v>
      </c>
      <c r="C141" s="24" t="s">
        <v>430</v>
      </c>
      <c r="D141" s="35" t="str">
        <f>_xlfn.DISPIMG("ID_3777ABF8C42B4A5790F5C431E8113468",1)</f>
        <v>=DISPIMG("ID_3777ABF8C42B4A5790F5C431E8113468",1)</v>
      </c>
      <c r="E141" s="15" t="s">
        <v>431</v>
      </c>
      <c r="F141" s="30" t="s">
        <v>428</v>
      </c>
      <c r="G141" s="30" t="s">
        <v>429</v>
      </c>
      <c r="H141" s="21">
        <v>2.5</v>
      </c>
      <c r="I141" s="28">
        <v>0</v>
      </c>
      <c r="J141" s="12">
        <f t="shared" si="5"/>
        <v>0</v>
      </c>
    </row>
    <row r="142" ht="135" spans="1:10">
      <c r="A142" s="12">
        <v>139</v>
      </c>
      <c r="B142" s="12" t="s">
        <v>432</v>
      </c>
      <c r="C142" s="24" t="s">
        <v>433</v>
      </c>
      <c r="D142" s="36" t="str">
        <f>_xlfn.DISPIMG("ID_2ECC0094D70740A5B94259305F76B414",1)</f>
        <v>=DISPIMG("ID_2ECC0094D70740A5B94259305F76B414",1)</v>
      </c>
      <c r="E142" s="30" t="s">
        <v>434</v>
      </c>
      <c r="F142" s="30"/>
      <c r="G142" s="30" t="s">
        <v>28</v>
      </c>
      <c r="H142" s="21">
        <v>320</v>
      </c>
      <c r="I142" s="28">
        <v>1</v>
      </c>
      <c r="J142" s="12">
        <f t="shared" si="5"/>
        <v>320</v>
      </c>
    </row>
    <row r="143" ht="54" spans="1:10">
      <c r="A143" s="12">
        <v>140</v>
      </c>
      <c r="B143" s="37" t="s">
        <v>435</v>
      </c>
      <c r="C143" s="38" t="s">
        <v>436</v>
      </c>
      <c r="D143" s="39" t="str">
        <f>_xlfn.DISPIMG("ID_FB6C16BFCCC74121B57D593AF11EA3CE",1)</f>
        <v>=DISPIMG("ID_FB6C16BFCCC74121B57D593AF11EA3CE",1)</v>
      </c>
      <c r="E143" s="40" t="s">
        <v>437</v>
      </c>
      <c r="F143" s="16" t="s">
        <v>438</v>
      </c>
      <c r="G143" s="41" t="s">
        <v>439</v>
      </c>
      <c r="H143" s="42">
        <v>145</v>
      </c>
      <c r="I143" s="28">
        <v>0</v>
      </c>
      <c r="J143" s="12">
        <f t="shared" si="5"/>
        <v>0</v>
      </c>
    </row>
    <row r="144" ht="65.65" spans="1:10">
      <c r="A144" s="12">
        <v>141</v>
      </c>
      <c r="B144" s="37" t="s">
        <v>440</v>
      </c>
      <c r="C144" s="38" t="s">
        <v>441</v>
      </c>
      <c r="D144" s="39" t="str">
        <f>_xlfn.DISPIMG("ID_A01750E6368D4A2EBD2FE79689CA9AE7",1)</f>
        <v>=DISPIMG("ID_A01750E6368D4A2EBD2FE79689CA9AE7",1)</v>
      </c>
      <c r="E144" s="40" t="s">
        <v>442</v>
      </c>
      <c r="F144" s="16" t="s">
        <v>438</v>
      </c>
      <c r="G144" s="41" t="s">
        <v>32</v>
      </c>
      <c r="H144" s="42">
        <v>16</v>
      </c>
      <c r="I144" s="28">
        <v>5</v>
      </c>
      <c r="J144" s="12">
        <f t="shared" si="5"/>
        <v>80</v>
      </c>
    </row>
    <row r="145" ht="61.7" spans="1:10">
      <c r="A145" s="12">
        <v>142</v>
      </c>
      <c r="B145" s="43" t="s">
        <v>443</v>
      </c>
      <c r="C145" s="38" t="s">
        <v>444</v>
      </c>
      <c r="D145" s="39" t="str">
        <f>_xlfn.DISPIMG("ID_959C6E81E74A44D0B8BDC7E77B281CB4",1)</f>
        <v>=DISPIMG("ID_959C6E81E74A44D0B8BDC7E77B281CB4",1)</v>
      </c>
      <c r="E145" s="40" t="s">
        <v>445</v>
      </c>
      <c r="F145" s="16" t="s">
        <v>438</v>
      </c>
      <c r="G145" s="40" t="s">
        <v>32</v>
      </c>
      <c r="H145" s="42">
        <v>3</v>
      </c>
      <c r="I145" s="28">
        <v>20</v>
      </c>
      <c r="J145" s="12">
        <f t="shared" si="5"/>
        <v>60</v>
      </c>
    </row>
    <row r="146" ht="68.45" spans="1:10">
      <c r="A146" s="12">
        <v>143</v>
      </c>
      <c r="B146" s="43" t="s">
        <v>446</v>
      </c>
      <c r="C146" s="38" t="s">
        <v>447</v>
      </c>
      <c r="D146" s="39" t="str">
        <f>_xlfn.DISPIMG("ID_C502403115F94EA0B80619A9C3CF5DF2",1)</f>
        <v>=DISPIMG("ID_C502403115F94EA0B80619A9C3CF5DF2",1)</v>
      </c>
      <c r="E146" s="40" t="s">
        <v>448</v>
      </c>
      <c r="F146" s="16" t="s">
        <v>438</v>
      </c>
      <c r="G146" s="40" t="s">
        <v>16</v>
      </c>
      <c r="H146" s="42">
        <v>28</v>
      </c>
      <c r="I146" s="28">
        <v>15</v>
      </c>
      <c r="J146" s="12">
        <f t="shared" si="5"/>
        <v>420</v>
      </c>
    </row>
    <row r="147" ht="67" spans="1:10">
      <c r="A147" s="12">
        <v>144</v>
      </c>
      <c r="B147" s="43" t="s">
        <v>449</v>
      </c>
      <c r="C147" s="38" t="s">
        <v>450</v>
      </c>
      <c r="D147" s="39" t="str">
        <f>_xlfn.DISPIMG("ID_D83098DE6E4145F49F3325DB9E74374B",1)</f>
        <v>=DISPIMG("ID_D83098DE6E4145F49F3325DB9E74374B",1)</v>
      </c>
      <c r="E147" s="40" t="s">
        <v>451</v>
      </c>
      <c r="F147" s="16" t="s">
        <v>438</v>
      </c>
      <c r="G147" s="40" t="s">
        <v>32</v>
      </c>
      <c r="H147" s="42">
        <v>3</v>
      </c>
      <c r="I147" s="28">
        <v>55</v>
      </c>
      <c r="J147" s="12">
        <f t="shared" si="5"/>
        <v>165</v>
      </c>
    </row>
    <row r="148" ht="68.1" spans="1:10">
      <c r="A148" s="12">
        <v>145</v>
      </c>
      <c r="B148" s="37" t="s">
        <v>452</v>
      </c>
      <c r="C148" s="38" t="s">
        <v>453</v>
      </c>
      <c r="D148" s="39" t="str">
        <f>_xlfn.DISPIMG("ID_9C7E81BD57054CFCB97598EB55E48915",1)</f>
        <v>=DISPIMG("ID_9C7E81BD57054CFCB97598EB55E48915",1)</v>
      </c>
      <c r="E148" s="40" t="s">
        <v>454</v>
      </c>
      <c r="F148" s="16" t="s">
        <v>438</v>
      </c>
      <c r="G148" s="41" t="s">
        <v>32</v>
      </c>
      <c r="H148" s="42">
        <v>45</v>
      </c>
      <c r="I148" s="28">
        <v>7</v>
      </c>
      <c r="J148" s="12">
        <f t="shared" si="5"/>
        <v>315</v>
      </c>
    </row>
    <row r="149" ht="73" spans="1:10">
      <c r="A149" s="12">
        <v>146</v>
      </c>
      <c r="B149" s="43" t="s">
        <v>455</v>
      </c>
      <c r="C149" s="38" t="s">
        <v>456</v>
      </c>
      <c r="D149" s="39" t="str">
        <f>_xlfn.DISPIMG("ID_BEBD7A303BFB4A1A9764C44805CAED46",1)</f>
        <v>=DISPIMG("ID_BEBD7A303BFB4A1A9764C44805CAED46",1)</v>
      </c>
      <c r="E149" s="40" t="s">
        <v>457</v>
      </c>
      <c r="F149" s="16" t="s">
        <v>438</v>
      </c>
      <c r="G149" s="40" t="s">
        <v>32</v>
      </c>
      <c r="H149" s="42">
        <v>65</v>
      </c>
      <c r="I149" s="28">
        <v>7</v>
      </c>
      <c r="J149" s="12">
        <f t="shared" si="5"/>
        <v>455</v>
      </c>
    </row>
    <row r="150" ht="67.5" spans="1:10">
      <c r="A150" s="12">
        <v>147</v>
      </c>
      <c r="B150" s="43" t="s">
        <v>458</v>
      </c>
      <c r="C150" s="38" t="s">
        <v>459</v>
      </c>
      <c r="D150" s="39" t="str">
        <f>_xlfn.DISPIMG("ID_3094F598B6754574ABD37A44350B3EBF",1)</f>
        <v>=DISPIMG("ID_3094F598B6754574ABD37A44350B3EBF",1)</v>
      </c>
      <c r="E150" s="40" t="s">
        <v>460</v>
      </c>
      <c r="F150" s="16" t="s">
        <v>438</v>
      </c>
      <c r="G150" s="40" t="s">
        <v>32</v>
      </c>
      <c r="H150" s="42">
        <v>65</v>
      </c>
      <c r="I150" s="28">
        <v>8</v>
      </c>
      <c r="J150" s="12">
        <f t="shared" si="5"/>
        <v>520</v>
      </c>
    </row>
    <row r="151" ht="67.95" spans="1:10">
      <c r="A151" s="12">
        <v>148</v>
      </c>
      <c r="B151" s="43" t="s">
        <v>461</v>
      </c>
      <c r="C151" s="38" t="s">
        <v>462</v>
      </c>
      <c r="D151" s="39" t="str">
        <f>_xlfn.DISPIMG("ID_6FA0F899412B44669C639D1D8B8C4216",1)</f>
        <v>=DISPIMG("ID_6FA0F899412B44669C639D1D8B8C4216",1)</v>
      </c>
      <c r="E151" s="40" t="s">
        <v>463</v>
      </c>
      <c r="F151" s="16" t="s">
        <v>438</v>
      </c>
      <c r="G151" s="40" t="s">
        <v>16</v>
      </c>
      <c r="H151" s="42">
        <v>15</v>
      </c>
      <c r="I151" s="28">
        <v>10</v>
      </c>
      <c r="J151" s="12">
        <f t="shared" si="5"/>
        <v>150</v>
      </c>
    </row>
    <row r="152" ht="71" spans="1:10">
      <c r="A152" s="12">
        <v>149</v>
      </c>
      <c r="B152" s="43" t="s">
        <v>464</v>
      </c>
      <c r="C152" s="38" t="s">
        <v>465</v>
      </c>
      <c r="D152" s="39" t="str">
        <f>_xlfn.DISPIMG("ID_6A79DEE55CD648B7BF7DD66209119F95",1)</f>
        <v>=DISPIMG("ID_6A79DEE55CD648B7BF7DD66209119F95",1)</v>
      </c>
      <c r="E152" s="40" t="s">
        <v>466</v>
      </c>
      <c r="F152" s="16" t="s">
        <v>438</v>
      </c>
      <c r="G152" s="40" t="s">
        <v>467</v>
      </c>
      <c r="H152" s="42">
        <v>32</v>
      </c>
      <c r="I152" s="28">
        <v>43</v>
      </c>
      <c r="J152" s="12">
        <f t="shared" si="5"/>
        <v>1376</v>
      </c>
    </row>
    <row r="153" ht="73.15" spans="1:10">
      <c r="A153" s="12">
        <v>150</v>
      </c>
      <c r="B153" s="43" t="s">
        <v>468</v>
      </c>
      <c r="C153" s="38" t="s">
        <v>469</v>
      </c>
      <c r="D153" s="39" t="str">
        <f>_xlfn.DISPIMG("ID_D88695C388B24115B6AA6982B754034A",1)</f>
        <v>=DISPIMG("ID_D88695C388B24115B6AA6982B754034A",1)</v>
      </c>
      <c r="E153" s="40" t="s">
        <v>470</v>
      </c>
      <c r="F153" s="16" t="s">
        <v>438</v>
      </c>
      <c r="G153" s="40" t="s">
        <v>467</v>
      </c>
      <c r="H153" s="42">
        <v>9</v>
      </c>
      <c r="I153" s="28">
        <v>32</v>
      </c>
      <c r="J153" s="12">
        <f t="shared" si="5"/>
        <v>288</v>
      </c>
    </row>
    <row r="154" ht="72.65" spans="1:10">
      <c r="A154" s="12">
        <v>151</v>
      </c>
      <c r="B154" s="37" t="s">
        <v>471</v>
      </c>
      <c r="C154" s="38" t="s">
        <v>472</v>
      </c>
      <c r="D154" s="39" t="str">
        <f>_xlfn.DISPIMG("ID_D04D1A92286143E6A157630AD44D9F62",1)</f>
        <v>=DISPIMG("ID_D04D1A92286143E6A157630AD44D9F62",1)</v>
      </c>
      <c r="E154" s="40" t="s">
        <v>473</v>
      </c>
      <c r="F154" s="16" t="s">
        <v>438</v>
      </c>
      <c r="G154" s="41" t="s">
        <v>439</v>
      </c>
      <c r="H154" s="42">
        <v>12.5</v>
      </c>
      <c r="I154" s="28">
        <v>42</v>
      </c>
      <c r="J154" s="12">
        <f t="shared" si="5"/>
        <v>525</v>
      </c>
    </row>
    <row r="155" ht="71.5" spans="1:10">
      <c r="A155" s="12">
        <v>152</v>
      </c>
      <c r="B155" s="43" t="s">
        <v>474</v>
      </c>
      <c r="C155" s="38" t="s">
        <v>475</v>
      </c>
      <c r="D155" s="39" t="str">
        <f>_xlfn.DISPIMG("ID_1B0C991B7C474375B1A805CB1209D054",1)</f>
        <v>=DISPIMG("ID_1B0C991B7C474375B1A805CB1209D054",1)</v>
      </c>
      <c r="E155" s="40" t="s">
        <v>476</v>
      </c>
      <c r="F155" s="16" t="s">
        <v>438</v>
      </c>
      <c r="G155" s="40" t="s">
        <v>439</v>
      </c>
      <c r="H155" s="42">
        <v>16.5</v>
      </c>
      <c r="I155" s="28">
        <v>48</v>
      </c>
      <c r="J155" s="12">
        <f t="shared" si="5"/>
        <v>792</v>
      </c>
    </row>
    <row r="156" ht="68.55" spans="1:10">
      <c r="A156" s="12">
        <v>153</v>
      </c>
      <c r="B156" s="43" t="s">
        <v>477</v>
      </c>
      <c r="C156" s="38" t="s">
        <v>478</v>
      </c>
      <c r="D156" s="39" t="str">
        <f>_xlfn.DISPIMG("ID_B8ABF1FD15DE48F0B3A86933C1A92E87",1)</f>
        <v>=DISPIMG("ID_B8ABF1FD15DE48F0B3A86933C1A92E87",1)</v>
      </c>
      <c r="E156" s="40" t="s">
        <v>479</v>
      </c>
      <c r="F156" s="16" t="s">
        <v>438</v>
      </c>
      <c r="G156" s="40" t="s">
        <v>32</v>
      </c>
      <c r="H156" s="42">
        <v>3</v>
      </c>
      <c r="I156" s="28">
        <v>4</v>
      </c>
      <c r="J156" s="12">
        <f t="shared" si="5"/>
        <v>12</v>
      </c>
    </row>
    <row r="157" ht="81" spans="1:10">
      <c r="A157" s="12">
        <v>154</v>
      </c>
      <c r="B157" s="43" t="s">
        <v>480</v>
      </c>
      <c r="C157" s="38" t="s">
        <v>481</v>
      </c>
      <c r="D157" s="39" t="str">
        <f>_xlfn.DISPIMG("ID_D6158653044B4B89B339C1D0A50F8A95",1)</f>
        <v>=DISPIMG("ID_D6158653044B4B89B339C1D0A50F8A95",1)</v>
      </c>
      <c r="E157" s="40" t="s">
        <v>482</v>
      </c>
      <c r="F157" s="16" t="s">
        <v>438</v>
      </c>
      <c r="G157" s="40" t="s">
        <v>42</v>
      </c>
      <c r="H157" s="42">
        <v>35</v>
      </c>
      <c r="I157" s="28">
        <v>14</v>
      </c>
      <c r="J157" s="12">
        <f t="shared" si="5"/>
        <v>490</v>
      </c>
    </row>
    <row r="158" ht="74.55" spans="1:10">
      <c r="A158" s="12">
        <v>155</v>
      </c>
      <c r="B158" s="43" t="s">
        <v>483</v>
      </c>
      <c r="C158" s="38" t="s">
        <v>484</v>
      </c>
      <c r="D158" s="39" t="str">
        <f>_xlfn.DISPIMG("ID_C3BD42EBBE1248B3BF24AB0B6B42070A",1)</f>
        <v>=DISPIMG("ID_C3BD42EBBE1248B3BF24AB0B6B42070A",1)</v>
      </c>
      <c r="E158" s="40" t="s">
        <v>485</v>
      </c>
      <c r="F158" s="16" t="s">
        <v>438</v>
      </c>
      <c r="G158" s="40" t="s">
        <v>467</v>
      </c>
      <c r="H158" s="42">
        <v>35</v>
      </c>
      <c r="I158" s="28">
        <v>39</v>
      </c>
      <c r="J158" s="12">
        <f t="shared" si="5"/>
        <v>1365</v>
      </c>
    </row>
    <row r="159" ht="70.15" spans="1:10">
      <c r="A159" s="12">
        <v>156</v>
      </c>
      <c r="B159" s="43" t="s">
        <v>486</v>
      </c>
      <c r="C159" s="38" t="s">
        <v>487</v>
      </c>
      <c r="D159" s="39" t="str">
        <f>_xlfn.DISPIMG("ID_4B7AD8ABCB4743EBB4C88ED457244B38",1)</f>
        <v>=DISPIMG("ID_4B7AD8ABCB4743EBB4C88ED457244B38",1)</v>
      </c>
      <c r="E159" s="40" t="s">
        <v>488</v>
      </c>
      <c r="F159" s="16" t="s">
        <v>438</v>
      </c>
      <c r="G159" s="40" t="s">
        <v>32</v>
      </c>
      <c r="H159" s="42">
        <v>35</v>
      </c>
      <c r="I159" s="28">
        <v>1</v>
      </c>
      <c r="J159" s="12">
        <f t="shared" si="5"/>
        <v>35</v>
      </c>
    </row>
    <row r="160" ht="94.5" spans="1:10">
      <c r="A160" s="12">
        <v>157</v>
      </c>
      <c r="B160" s="43" t="s">
        <v>489</v>
      </c>
      <c r="C160" s="38" t="s">
        <v>490</v>
      </c>
      <c r="D160" s="39" t="str">
        <f>_xlfn.DISPIMG("ID_A692AB2E0949479AB253691B4F84C456",1)</f>
        <v>=DISPIMG("ID_A692AB2E0949479AB253691B4F84C456",1)</v>
      </c>
      <c r="E160" s="40" t="s">
        <v>491</v>
      </c>
      <c r="F160" s="16" t="s">
        <v>438</v>
      </c>
      <c r="G160" s="40" t="s">
        <v>149</v>
      </c>
      <c r="H160" s="42">
        <v>45</v>
      </c>
      <c r="I160" s="28">
        <v>0</v>
      </c>
      <c r="J160" s="12">
        <f t="shared" si="5"/>
        <v>0</v>
      </c>
    </row>
    <row r="161" ht="121.5" spans="1:10">
      <c r="A161" s="12">
        <v>158</v>
      </c>
      <c r="B161" s="43" t="s">
        <v>492</v>
      </c>
      <c r="C161" s="38" t="s">
        <v>493</v>
      </c>
      <c r="D161" s="39" t="str">
        <f>_xlfn.DISPIMG("ID_BC5644AB0BE94DA8B9687D46B1E48DA0",1)</f>
        <v>=DISPIMG("ID_BC5644AB0BE94DA8B9687D46B1E48DA0",1)</v>
      </c>
      <c r="E161" s="40" t="s">
        <v>494</v>
      </c>
      <c r="F161" s="16" t="s">
        <v>438</v>
      </c>
      <c r="G161" s="40" t="s">
        <v>149</v>
      </c>
      <c r="H161" s="42">
        <v>65</v>
      </c>
      <c r="I161" s="28">
        <v>3</v>
      </c>
      <c r="J161" s="12">
        <f t="shared" si="5"/>
        <v>195</v>
      </c>
    </row>
    <row r="162" ht="94.5" spans="1:10">
      <c r="A162" s="12">
        <v>159</v>
      </c>
      <c r="B162" s="44" t="s">
        <v>495</v>
      </c>
      <c r="C162" s="38" t="s">
        <v>496</v>
      </c>
      <c r="D162" s="45" t="str">
        <f>_xlfn.DISPIMG("ID_17F5D243F9694C0F8E971B9E8988A59A",1)</f>
        <v>=DISPIMG("ID_17F5D243F9694C0F8E971B9E8988A59A",1)</v>
      </c>
      <c r="E162" s="46" t="s">
        <v>494</v>
      </c>
      <c r="F162" s="47" t="s">
        <v>438</v>
      </c>
      <c r="G162" s="46" t="s">
        <v>32</v>
      </c>
      <c r="H162" s="48">
        <v>20</v>
      </c>
      <c r="I162" s="28">
        <v>7</v>
      </c>
      <c r="J162" s="12">
        <f t="shared" si="5"/>
        <v>140</v>
      </c>
    </row>
    <row r="163" ht="81" spans="1:10">
      <c r="A163" s="12">
        <v>160</v>
      </c>
      <c r="B163" s="12" t="s">
        <v>497</v>
      </c>
      <c r="C163" s="9" t="s">
        <v>498</v>
      </c>
      <c r="D163" s="12" t="str">
        <f>_xlfn.DISPIMG("ID_1666973EB9FD4E88B52A47FBEA525717",1)</f>
        <v>=DISPIMG("ID_1666973EB9FD4E88B52A47FBEA525717",1)</v>
      </c>
      <c r="E163" s="15" t="s">
        <v>499</v>
      </c>
      <c r="F163" s="30" t="s">
        <v>500</v>
      </c>
      <c r="G163" s="30" t="s">
        <v>23</v>
      </c>
      <c r="H163" s="48">
        <v>17</v>
      </c>
      <c r="I163" s="28">
        <v>0</v>
      </c>
      <c r="J163" s="12">
        <f t="shared" si="5"/>
        <v>0</v>
      </c>
    </row>
    <row r="164" ht="67.5" spans="1:10">
      <c r="A164" s="12">
        <v>161</v>
      </c>
      <c r="B164" s="12" t="s">
        <v>501</v>
      </c>
      <c r="C164" s="9" t="s">
        <v>502</v>
      </c>
      <c r="D164" s="12" t="str">
        <f>_xlfn.DISPIMG("ID_0363B169B7944B9C86FEF06C257418CD",1)</f>
        <v>=DISPIMG("ID_0363B169B7944B9C86FEF06C257418CD",1)</v>
      </c>
      <c r="E164" s="15" t="s">
        <v>503</v>
      </c>
      <c r="F164" s="30" t="s">
        <v>500</v>
      </c>
      <c r="G164" s="30" t="s">
        <v>23</v>
      </c>
      <c r="H164" s="48">
        <v>50</v>
      </c>
      <c r="I164" s="28">
        <v>0</v>
      </c>
      <c r="J164" s="12">
        <f t="shared" si="5"/>
        <v>0</v>
      </c>
    </row>
    <row r="165" ht="67.5" spans="1:10">
      <c r="A165" s="12">
        <v>162</v>
      </c>
      <c r="B165" s="49" t="s">
        <v>501</v>
      </c>
      <c r="C165" s="9" t="s">
        <v>504</v>
      </c>
      <c r="D165" s="49" t="str">
        <f>_xlfn.DISPIMG("ID_1AAD4FB4691E4CE88FDA4B15BE42B7EB",1)</f>
        <v>=DISPIMG("ID_1AAD4FB4691E4CE88FDA4B15BE42B7EB",1)</v>
      </c>
      <c r="E165" s="15" t="s">
        <v>505</v>
      </c>
      <c r="F165" s="15" t="s">
        <v>500</v>
      </c>
      <c r="G165" s="15" t="s">
        <v>23</v>
      </c>
      <c r="H165" s="48">
        <v>100</v>
      </c>
      <c r="I165" s="28">
        <v>0</v>
      </c>
      <c r="J165" s="12">
        <f t="shared" si="5"/>
        <v>0</v>
      </c>
    </row>
    <row r="166" ht="135" spans="1:10">
      <c r="A166" s="12">
        <v>163</v>
      </c>
      <c r="B166" s="49" t="s">
        <v>506</v>
      </c>
      <c r="C166" s="9" t="s">
        <v>507</v>
      </c>
      <c r="D166" s="49" t="str">
        <f>_xlfn.DISPIMG("ID_B7BDA6841573429F8A4912DF1ED5359D",1)</f>
        <v>=DISPIMG("ID_B7BDA6841573429F8A4912DF1ED5359D",1)</v>
      </c>
      <c r="E166" s="15" t="s">
        <v>508</v>
      </c>
      <c r="F166" s="15" t="s">
        <v>180</v>
      </c>
      <c r="G166" s="15" t="s">
        <v>509</v>
      </c>
      <c r="H166" s="48">
        <v>5</v>
      </c>
      <c r="I166" s="28">
        <v>35</v>
      </c>
      <c r="J166" s="12">
        <f t="shared" si="5"/>
        <v>175</v>
      </c>
    </row>
    <row r="167" ht="73.55" spans="1:10">
      <c r="A167" s="12">
        <v>164</v>
      </c>
      <c r="B167" s="49" t="s">
        <v>510</v>
      </c>
      <c r="C167" s="9" t="s">
        <v>511</v>
      </c>
      <c r="D167" s="49" t="str">
        <f>_xlfn.DISPIMG("ID_8AA60F0D6D854308842A01EFEF86688D",1)</f>
        <v>=DISPIMG("ID_8AA60F0D6D854308842A01EFEF86688D",1)</v>
      </c>
      <c r="E167" s="15" t="s">
        <v>512</v>
      </c>
      <c r="F167" s="15" t="s">
        <v>180</v>
      </c>
      <c r="G167" s="15" t="s">
        <v>32</v>
      </c>
      <c r="H167" s="48">
        <v>12</v>
      </c>
      <c r="I167" s="28">
        <v>26</v>
      </c>
      <c r="J167" s="12">
        <f t="shared" si="5"/>
        <v>312</v>
      </c>
    </row>
    <row r="168" ht="81" spans="1:10">
      <c r="A168" s="12">
        <v>165</v>
      </c>
      <c r="B168" s="49" t="s">
        <v>513</v>
      </c>
      <c r="C168" s="9" t="s">
        <v>514</v>
      </c>
      <c r="D168" s="49" t="str">
        <f>_xlfn.DISPIMG("ID_6B87958DE4334558854899F968F7D644",1)</f>
        <v>=DISPIMG("ID_6B87958DE4334558854899F968F7D644",1)</v>
      </c>
      <c r="E168" s="50" t="s">
        <v>515</v>
      </c>
      <c r="F168" s="50" t="s">
        <v>180</v>
      </c>
      <c r="G168" s="15" t="s">
        <v>439</v>
      </c>
      <c r="H168" s="48">
        <v>0.6</v>
      </c>
      <c r="I168" s="28">
        <v>618</v>
      </c>
      <c r="J168" s="12">
        <f t="shared" si="5"/>
        <v>370.8</v>
      </c>
    </row>
    <row r="169" ht="44" customHeight="1" spans="1:10">
      <c r="A169" s="51" t="s">
        <v>516</v>
      </c>
      <c r="B169" s="52"/>
      <c r="C169" s="52"/>
      <c r="D169" s="52"/>
      <c r="E169" s="52"/>
      <c r="F169" s="52"/>
      <c r="G169" s="52"/>
      <c r="H169" s="53"/>
      <c r="I169" s="51">
        <f>SUM(J4:J168)</f>
        <v>47127.9</v>
      </c>
      <c r="J169" s="53"/>
    </row>
    <row r="170" customHeight="1" spans="1:10">
      <c r="A170" s="54" t="s">
        <v>517</v>
      </c>
      <c r="B170" s="55"/>
      <c r="C170" s="55"/>
      <c r="D170" s="55"/>
      <c r="E170" s="55"/>
      <c r="F170" s="55"/>
      <c r="G170" s="56">
        <f>I169</f>
        <v>47127.9</v>
      </c>
      <c r="H170" s="56"/>
      <c r="I170" s="56"/>
      <c r="J170" s="57"/>
    </row>
  </sheetData>
  <sheetProtection formatCells="0" insertHyperlinks="0" autoFilter="0"/>
  <autoFilter ref="A2:J169">
    <extLst/>
  </autoFilter>
  <mergeCells count="14">
    <mergeCell ref="A1:J1"/>
    <mergeCell ref="I2:J2"/>
    <mergeCell ref="A169:H169"/>
    <mergeCell ref="I169:J169"/>
    <mergeCell ref="A170:F170"/>
    <mergeCell ref="G170:J170"/>
    <mergeCell ref="A2:A3"/>
    <mergeCell ref="B2:B3"/>
    <mergeCell ref="C2:C3"/>
    <mergeCell ref="D2:D3"/>
    <mergeCell ref="E2:E3"/>
    <mergeCell ref="F2:F3"/>
    <mergeCell ref="G2:G3"/>
    <mergeCell ref="H2:H3"/>
  </mergeCells>
  <printOptions horizontalCentered="1"/>
  <pageMargins left="0.251388888888889" right="0.251388888888889" top="0.161111111111111" bottom="0.161111111111111" header="0.298611111111111" footer="0.298611111111111"/>
  <pageSetup paperSize="9" scale="74" orientation="portrait" horizontalDpi="600"/>
  <headerFooter/>
  <colBreaks count="1" manualBreakCount="1">
    <brk id="10" max="1048575" man="1"/>
  </colBreak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Microsoft</Company>
  <Application>WWO_base_provider_20210929220102-c9fcf70066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办公用品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XTZJ</dc:creator>
  <cp:lastModifiedBy>白锐</cp:lastModifiedBy>
  <dcterms:created xsi:type="dcterms:W3CDTF">2019-07-12T05:19:00Z</dcterms:created>
  <cp:lastPrinted>2020-08-27T14:00:00Z</cp:lastPrinted>
  <dcterms:modified xsi:type="dcterms:W3CDTF">2022-09-20T13:50:08Z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2052-11.1.0.12358</vt:lpwstr>
  </property>
  <property fmtid="{D5CDD505-2E9C-101B-9397-08002B2CF9AE}" pid="3" name="ICV">
    <vt:lpwstr>2F938CDF3C434F368BBA921268CE55CA</vt:lpwstr>
  </property>
</Properties>
</file>