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542"/>
  </bookViews>
  <sheets>
    <sheet name="01" sheetId="17" r:id="rId1"/>
  </sheets>
  <definedNames>
    <definedName name="_xlnm.Print_Area" localSheetId="0">'01'!$A$1:$Q$30</definedName>
    <definedName name="_xlnm.Print_Titles" localSheetId="0">'01'!$1:$6</definedName>
  </definedNames>
  <calcPr calcId="144525"/>
</workbook>
</file>

<file path=xl/comments1.xml><?xml version="1.0" encoding="utf-8"?>
<comments xmlns="http://schemas.openxmlformats.org/spreadsheetml/2006/main">
  <authors>
    <author>清风随意</author>
  </authors>
  <commentList>
    <comment ref="Y4" authorId="0">
      <text>
        <r>
          <rPr>
            <b/>
            <sz val="11"/>
            <rFont val="宋体"/>
            <charset val="134"/>
          </rPr>
          <t>靠近路为内侧</t>
        </r>
      </text>
    </comment>
  </commentList>
</comments>
</file>

<file path=xl/sharedStrings.xml><?xml version="1.0" encoding="utf-8"?>
<sst xmlns="http://schemas.openxmlformats.org/spreadsheetml/2006/main" count="90" uniqueCount="63">
  <si>
    <t xml:space="preserve"> 排水工程数量表</t>
  </si>
  <si>
    <t>起点桩号需输入识别符如：A0，终点桩号只输入数字</t>
  </si>
  <si>
    <t>选择公路或水利项目</t>
  </si>
  <si>
    <t>边 沟 尺 寸</t>
  </si>
  <si>
    <t>工 程 量</t>
  </si>
  <si>
    <t>带盖板边沟与正常边沟的差   (每米)</t>
  </si>
  <si>
    <t>临江市四道沟镇东北岔村休闲广场工程</t>
  </si>
  <si>
    <t>S1-17</t>
  </si>
  <si>
    <t xml:space="preserve">入 户     盖 板    米 数      </t>
  </si>
  <si>
    <t>扣除  无需  修建   长度</t>
  </si>
  <si>
    <t>请 输 入
边沟尺寸</t>
  </si>
  <si>
    <t>异型边沟输入</t>
  </si>
  <si>
    <t>反 算 尺 寸</t>
  </si>
  <si>
    <t>砂砾   垫层</t>
  </si>
  <si>
    <t xml:space="preserve">每 延 长 米 工 程 量 </t>
  </si>
  <si>
    <t>每道缝  的量</t>
  </si>
  <si>
    <t>盖板下  边沟</t>
  </si>
  <si>
    <t>钢筋混凝土盖板（每块板的量）</t>
  </si>
  <si>
    <t>辅助计算数据</t>
  </si>
  <si>
    <t>序号</t>
  </si>
  <si>
    <t>起讫桩号</t>
  </si>
  <si>
    <t>边沟           类型</t>
  </si>
  <si>
    <t>位置</t>
  </si>
  <si>
    <t>长度</t>
  </si>
  <si>
    <t>边沟             尺寸</t>
  </si>
  <si>
    <t>沟底          纵坡</t>
  </si>
  <si>
    <t>浆砌片石矩形边沟</t>
  </si>
  <si>
    <t>挖基    土方</t>
  </si>
  <si>
    <t>备注</t>
  </si>
  <si>
    <t>公 路</t>
  </si>
  <si>
    <t>边沟
净宽</t>
  </si>
  <si>
    <t>边沟
净高
(内侧)</t>
  </si>
  <si>
    <t>边沟
净高
(外侧)</t>
  </si>
  <si>
    <t>沟壁
顶宽
(内侧)</t>
  </si>
  <si>
    <t>沟壁
顶宽
(外侧)</t>
  </si>
  <si>
    <t>沟底
厚度</t>
  </si>
  <si>
    <t>砂砾      垫层</t>
  </si>
  <si>
    <t>水泥砂浆抹面</t>
  </si>
  <si>
    <t>M10浆砌   片石</t>
  </si>
  <si>
    <t>沥青麻絮</t>
  </si>
  <si>
    <t>C30     混凝土</t>
  </si>
  <si>
    <t>HRB400</t>
  </si>
  <si>
    <t>M101浆砌片石  (每米增加量)</t>
  </si>
  <si>
    <t>起
点
桩
号</t>
  </si>
  <si>
    <t>终
点
桩
号</t>
  </si>
  <si>
    <t>位
置</t>
  </si>
  <si>
    <t>(m)</t>
  </si>
  <si>
    <t>(%)</t>
  </si>
  <si>
    <r>
      <rPr>
        <sz val="11"/>
        <rFont val="宋体"/>
        <charset val="134"/>
      </rPr>
      <t>(m</t>
    </r>
    <r>
      <rPr>
        <vertAlign val="superscript"/>
        <sz val="11"/>
        <rFont val="宋体"/>
        <charset val="134"/>
      </rPr>
      <t>3</t>
    </r>
    <r>
      <rPr>
        <sz val="11"/>
        <rFont val="宋体"/>
        <charset val="134"/>
      </rPr>
      <t>)</t>
    </r>
  </si>
  <si>
    <r>
      <rPr>
        <sz val="11"/>
        <rFont val="宋体"/>
        <charset val="134"/>
      </rPr>
      <t>(m</t>
    </r>
    <r>
      <rPr>
        <vertAlign val="superscript"/>
        <sz val="11"/>
        <rFont val="宋体"/>
        <charset val="134"/>
      </rPr>
      <t>2</t>
    </r>
    <r>
      <rPr>
        <sz val="11"/>
        <rFont val="宋体"/>
        <charset val="134"/>
      </rPr>
      <t>)</t>
    </r>
  </si>
  <si>
    <t>(米)</t>
  </si>
  <si>
    <t>(kg)</t>
  </si>
  <si>
    <t>道路左侧</t>
  </si>
  <si>
    <t>0.4×0.4</t>
  </si>
  <si>
    <t>0.5×0.5</t>
  </si>
  <si>
    <t>0.6×0.6</t>
  </si>
  <si>
    <t>0.7×0.7</t>
  </si>
  <si>
    <t>0.8×0.8</t>
  </si>
  <si>
    <t>1.0×1.0</t>
  </si>
  <si>
    <t>合  计：</t>
  </si>
  <si>
    <t>编制：</t>
  </si>
  <si>
    <t>复核:</t>
  </si>
  <si>
    <t>审核：</t>
  </si>
</sst>
</file>

<file path=xl/styles.xml><?xml version="1.0" encoding="utf-8"?>
<styleSheet xmlns="http://schemas.openxmlformats.org/spreadsheetml/2006/main">
  <numFmts count="15">
    <numFmt numFmtId="176" formatCode="0.00_ "/>
    <numFmt numFmtId="177" formatCode="\K0\+000"/>
    <numFmt numFmtId="44" formatCode="_ &quot;￥&quot;* #,##0.00_ ;_ &quot;￥&quot;* \-#,##0.00_ ;_ &quot;￥&quot;* &quot;-&quot;??_ ;_ @_ "/>
    <numFmt numFmtId="178" formatCode="_(&quot;$&quot;* #,##0.00_);_(&quot;$&quot;* \(#,##0.00\);_(&quot;$&quot;* &quot;-&quot;??_);_(@_)"/>
    <numFmt numFmtId="179" formatCode="0.0_ "/>
    <numFmt numFmtId="180" formatCode="_ \¥* #,##0.00_ ;_ \¥* \-#,##0.00_ ;_ \¥* &quot;-&quot;??_ ;_ @_ "/>
    <numFmt numFmtId="181" formatCode="\K00\+000"/>
    <numFmt numFmtId="42" formatCode="_ &quot;￥&quot;* #,##0_ ;_ &quot;￥&quot;* \-#,##0_ ;_ &quot;￥&quot;* &quot;-&quot;_ ;_ @_ "/>
    <numFmt numFmtId="182" formatCode="0.00_);[Red]\(0.00\)"/>
    <numFmt numFmtId="183" formatCode="&quot;第&quot;\ #\ &quot;页&quot;"/>
    <numFmt numFmtId="184" formatCode="&quot;0&quot;00"/>
    <numFmt numFmtId="41" formatCode="_ * #,##0_ ;_ * \-#,##0_ ;_ * &quot;-&quot;_ ;_ @_ "/>
    <numFmt numFmtId="185" formatCode="&quot;共&quot;\ #\ &quot;页&quot;"/>
    <numFmt numFmtId="43" formatCode="_ * #,##0.00_ ;_ * \-#,##0.00_ ;_ * &quot;-&quot;??_ ;_ @_ "/>
    <numFmt numFmtId="186" formatCode="&quot;扣除&quot;###.###&quot;米无需修建处&quot;"/>
  </numFmts>
  <fonts count="38">
    <font>
      <sz val="12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sz val="13"/>
      <name val="宋体"/>
      <charset val="134"/>
    </font>
    <font>
      <b/>
      <sz val="14"/>
      <color rgb="FFFFFF00"/>
      <name val="宋体"/>
      <charset val="134"/>
    </font>
    <font>
      <b/>
      <sz val="11"/>
      <name val="宋体"/>
      <charset val="134"/>
    </font>
    <font>
      <b/>
      <sz val="11"/>
      <color rgb="FFFFFF00"/>
      <name val="宋体"/>
      <charset val="134"/>
    </font>
    <font>
      <b/>
      <sz val="14"/>
      <color rgb="FF0070C0"/>
      <name val="宋体"/>
      <charset val="134"/>
    </font>
    <font>
      <sz val="12"/>
      <color rgb="FFFF0000"/>
      <name val="宋体"/>
      <charset val="134"/>
    </font>
    <font>
      <sz val="12"/>
      <color rgb="FF0070C0"/>
      <name val="宋体"/>
      <charset val="134"/>
    </font>
    <font>
      <b/>
      <sz val="12"/>
      <color rgb="FFFF0000"/>
      <name val="宋体"/>
      <charset val="134"/>
    </font>
    <font>
      <sz val="11"/>
      <color rgb="FFFF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vertAlign val="superscript"/>
      <sz val="11"/>
      <name val="宋体"/>
      <charset val="134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9" fillId="21" borderId="3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8" borderId="34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37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2" fillId="24" borderId="39" applyNumberFormat="0" applyAlignment="0" applyProtection="0">
      <alignment vertical="center"/>
    </xf>
    <xf numFmtId="0" fontId="30" fillId="24" borderId="36" applyNumberFormat="0" applyAlignment="0" applyProtection="0">
      <alignment vertical="center"/>
    </xf>
    <xf numFmtId="0" fontId="28" fillId="20" borderId="35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1" fillId="0" borderId="38" applyNumberFormat="0" applyFill="0" applyAlignment="0" applyProtection="0">
      <alignment vertical="center"/>
    </xf>
    <xf numFmtId="0" fontId="33" fillId="0" borderId="4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4" fillId="0" borderId="0"/>
    <xf numFmtId="0" fontId="0" fillId="0" borderId="0"/>
    <xf numFmtId="0" fontId="0" fillId="0" borderId="0">
      <alignment vertical="center"/>
    </xf>
    <xf numFmtId="178" fontId="34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Font="1" applyFill="1" applyProtection="1">
      <protection locked="0"/>
    </xf>
    <xf numFmtId="0" fontId="0" fillId="2" borderId="0" xfId="0" applyFont="1" applyFill="1" applyProtection="1">
      <protection locked="0"/>
    </xf>
    <xf numFmtId="0" fontId="0" fillId="0" borderId="0" xfId="0" applyFill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NumberFormat="1" applyFill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Protection="1">
      <protection locked="0"/>
    </xf>
    <xf numFmtId="0" fontId="1" fillId="0" borderId="0" xfId="50" applyFont="1" applyBorder="1" applyAlignment="1" applyProtection="1">
      <alignment vertical="center" wrapText="1"/>
      <protection locked="0"/>
    </xf>
    <xf numFmtId="0" fontId="0" fillId="0" borderId="0" xfId="50" applyFont="1" applyBorder="1" applyAlignment="1" applyProtection="1">
      <alignment vertical="center"/>
      <protection locked="0"/>
    </xf>
    <xf numFmtId="0" fontId="2" fillId="0" borderId="0" xfId="50" applyFont="1" applyBorder="1" applyAlignment="1" applyProtection="1">
      <alignment vertical="center" wrapText="1"/>
      <protection locked="0"/>
    </xf>
    <xf numFmtId="0" fontId="3" fillId="0" borderId="1" xfId="50" applyFont="1" applyFill="1" applyBorder="1" applyAlignment="1" applyProtection="1">
      <alignment horizontal="center" vertical="center" wrapText="1"/>
      <protection locked="0"/>
    </xf>
    <xf numFmtId="0" fontId="3" fillId="0" borderId="2" xfId="50" applyFont="1" applyFill="1" applyBorder="1" applyAlignment="1" applyProtection="1">
      <alignment horizontal="center" vertical="center" wrapText="1"/>
      <protection locked="0"/>
    </xf>
    <xf numFmtId="176" fontId="3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50" applyFont="1" applyFill="1" applyBorder="1" applyAlignment="1" applyProtection="1">
      <alignment horizontal="center" vertical="center" wrapText="1"/>
      <protection locked="0"/>
    </xf>
    <xf numFmtId="0" fontId="3" fillId="0" borderId="4" xfId="50" applyFont="1" applyFill="1" applyBorder="1" applyAlignment="1" applyProtection="1">
      <alignment horizontal="center" vertical="center" wrapText="1"/>
      <protection locked="0"/>
    </xf>
    <xf numFmtId="176" fontId="3" fillId="0" borderId="4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50" applyFont="1" applyFill="1" applyBorder="1" applyAlignment="1" applyProtection="1">
      <alignment horizontal="center" vertical="center" wrapText="1"/>
      <protection hidden="1"/>
    </xf>
    <xf numFmtId="0" fontId="3" fillId="0" borderId="6" xfId="5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52" applyFont="1" applyBorder="1" applyAlignment="1" applyProtection="1">
      <alignment horizontal="center" vertical="center"/>
      <protection hidden="1"/>
    </xf>
    <xf numFmtId="0" fontId="3" fillId="0" borderId="8" xfId="50" applyNumberFormat="1" applyFont="1" applyFill="1" applyBorder="1" applyAlignment="1" applyProtection="1">
      <alignment horizontal="center" vertical="center" wrapText="1"/>
      <protection hidden="1"/>
    </xf>
    <xf numFmtId="177" fontId="3" fillId="0" borderId="4" xfId="5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50" applyFont="1" applyFill="1" applyBorder="1" applyAlignment="1" applyProtection="1">
      <alignment horizontal="center" vertical="center" wrapText="1"/>
      <protection hidden="1"/>
    </xf>
    <xf numFmtId="0" fontId="3" fillId="0" borderId="4" xfId="5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52" applyFont="1" applyFill="1" applyBorder="1" applyAlignment="1" applyProtection="1">
      <alignment horizontal="center" vertical="center"/>
      <protection hidden="1"/>
    </xf>
    <xf numFmtId="0" fontId="3" fillId="0" borderId="9" xfId="50" applyFont="1" applyFill="1" applyBorder="1" applyAlignment="1" applyProtection="1">
      <alignment horizontal="center" vertical="center" wrapText="1"/>
      <protection hidden="1"/>
    </xf>
    <xf numFmtId="181" fontId="3" fillId="0" borderId="10" xfId="5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50" applyFont="1" applyFill="1" applyBorder="1" applyAlignment="1" applyProtection="1">
      <alignment horizontal="center" vertical="center" wrapText="1"/>
      <protection hidden="1"/>
    </xf>
    <xf numFmtId="0" fontId="3" fillId="0" borderId="10" xfId="5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50" applyFont="1" applyBorder="1" applyAlignment="1" applyProtection="1">
      <alignment horizontal="center" vertical="center" wrapText="1"/>
      <protection locked="0"/>
    </xf>
    <xf numFmtId="0" fontId="1" fillId="0" borderId="0" xfId="50" applyFont="1" applyAlignment="1" applyProtection="1">
      <protection locked="0"/>
    </xf>
    <xf numFmtId="184" fontId="1" fillId="0" borderId="0" xfId="50" applyNumberFormat="1" applyFont="1" applyBorder="1" applyAlignment="1" applyProtection="1">
      <alignment horizontal="center" wrapText="1"/>
      <protection locked="0"/>
    </xf>
    <xf numFmtId="0" fontId="4" fillId="0" borderId="0" xfId="50" applyFont="1" applyBorder="1" applyAlignment="1" applyProtection="1">
      <alignment horizontal="center" vertical="center" wrapText="1"/>
      <protection locked="0"/>
    </xf>
    <xf numFmtId="0" fontId="2" fillId="0" borderId="0" xfId="50" applyFont="1" applyBorder="1" applyAlignment="1" applyProtection="1">
      <alignment horizontal="right" vertical="center" wrapText="1"/>
      <protection locked="0"/>
    </xf>
    <xf numFmtId="178" fontId="0" fillId="0" borderId="12" xfId="53" applyFont="1" applyBorder="1" applyAlignment="1" applyProtection="1">
      <alignment vertical="center"/>
      <protection locked="0"/>
    </xf>
    <xf numFmtId="178" fontId="5" fillId="0" borderId="12" xfId="53" applyFont="1" applyBorder="1" applyAlignment="1" applyProtection="1">
      <alignment horizontal="right" vertical="center"/>
      <protection locked="0"/>
    </xf>
    <xf numFmtId="183" fontId="0" fillId="0" borderId="12" xfId="53" applyNumberFormat="1" applyFont="1" applyBorder="1" applyAlignment="1" applyProtection="1">
      <alignment horizontal="center" vertical="center"/>
      <protection locked="0"/>
    </xf>
    <xf numFmtId="0" fontId="3" fillId="0" borderId="13" xfId="50" applyFont="1" applyFill="1" applyBorder="1" applyAlignment="1" applyProtection="1">
      <alignment horizontal="center" vertical="center" wrapText="1"/>
      <protection locked="0"/>
    </xf>
    <xf numFmtId="0" fontId="3" fillId="0" borderId="14" xfId="50" applyFont="1" applyFill="1" applyBorder="1" applyAlignment="1" applyProtection="1">
      <alignment horizontal="center" vertical="center" wrapText="1"/>
      <protection locked="0"/>
    </xf>
    <xf numFmtId="0" fontId="3" fillId="0" borderId="15" xfId="50" applyFont="1" applyFill="1" applyBorder="1" applyAlignment="1" applyProtection="1">
      <alignment horizontal="center" vertical="center" wrapText="1"/>
      <protection locked="0"/>
    </xf>
    <xf numFmtId="0" fontId="3" fillId="0" borderId="16" xfId="50" applyFont="1" applyFill="1" applyBorder="1" applyAlignment="1" applyProtection="1">
      <alignment horizontal="center" vertical="center" wrapText="1"/>
      <protection locked="0"/>
    </xf>
    <xf numFmtId="0" fontId="3" fillId="0" borderId="17" xfId="50" applyFont="1" applyFill="1" applyBorder="1" applyAlignment="1" applyProtection="1">
      <alignment horizontal="center" vertical="center" wrapText="1"/>
      <protection locked="0"/>
    </xf>
    <xf numFmtId="0" fontId="3" fillId="0" borderId="0" xfId="50" applyFont="1" applyFill="1" applyBorder="1" applyAlignment="1" applyProtection="1">
      <alignment horizontal="center" vertical="center" wrapText="1"/>
      <protection locked="0"/>
    </xf>
    <xf numFmtId="179" fontId="3" fillId="0" borderId="4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50" applyFont="1" applyFill="1" applyBorder="1" applyAlignment="1" applyProtection="1">
      <alignment horizontal="center" vertical="center" wrapText="1"/>
      <protection locked="0"/>
    </xf>
    <xf numFmtId="0" fontId="3" fillId="0" borderId="4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19" xfId="50" applyFont="1" applyFill="1" applyBorder="1" applyAlignment="1" applyProtection="1">
      <alignment horizontal="center" vertical="center" wrapText="1"/>
      <protection locked="0"/>
    </xf>
    <xf numFmtId="0" fontId="3" fillId="0" borderId="20" xfId="50" applyFont="1" applyFill="1" applyBorder="1" applyAlignment="1" applyProtection="1">
      <alignment horizontal="center" vertical="center" wrapText="1"/>
      <protection locked="0"/>
    </xf>
    <xf numFmtId="182" fontId="3" fillId="0" borderId="4" xfId="50" applyNumberFormat="1" applyFont="1" applyFill="1" applyBorder="1" applyAlignment="1" applyProtection="1">
      <alignment horizontal="center" vertical="center" wrapText="1"/>
      <protection hidden="1"/>
    </xf>
    <xf numFmtId="186" fontId="3" fillId="0" borderId="6" xfId="50" applyNumberFormat="1" applyFont="1" applyFill="1" applyBorder="1" applyAlignment="1" applyProtection="1">
      <alignment horizontal="center" vertical="center" wrapText="1"/>
      <protection locked="0"/>
    </xf>
    <xf numFmtId="186" fontId="3" fillId="0" borderId="7" xfId="50" applyNumberFormat="1" applyFont="1" applyFill="1" applyBorder="1" applyAlignment="1" applyProtection="1">
      <alignment horizontal="center" vertical="center" wrapText="1"/>
      <protection locked="0"/>
    </xf>
    <xf numFmtId="176" fontId="3" fillId="0" borderId="10" xfId="50" applyNumberFormat="1" applyFont="1" applyFill="1" applyBorder="1" applyAlignment="1" applyProtection="1">
      <alignment horizontal="center" vertical="center" wrapText="1"/>
      <protection hidden="1"/>
    </xf>
    <xf numFmtId="176" fontId="3" fillId="0" borderId="21" xfId="50" applyNumberFormat="1" applyFont="1" applyFill="1" applyBorder="1" applyAlignment="1" applyProtection="1">
      <alignment horizontal="center" vertical="center" wrapText="1"/>
      <protection locked="0"/>
    </xf>
    <xf numFmtId="176" fontId="3" fillId="0" borderId="22" xfId="5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50" applyNumberFormat="1" applyFont="1" applyBorder="1" applyAlignment="1" applyProtection="1">
      <alignment horizontal="right" vertical="center" wrapText="1"/>
      <protection locked="0"/>
    </xf>
    <xf numFmtId="0" fontId="1" fillId="0" borderId="0" xfId="50" applyFont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1" fillId="0" borderId="19" xfId="50" applyFont="1" applyBorder="1" applyAlignment="1" applyProtection="1">
      <alignment horizontal="center" vertical="center" wrapText="1"/>
      <protection locked="0"/>
    </xf>
    <xf numFmtId="185" fontId="0" fillId="0" borderId="12" xfId="53" applyNumberFormat="1" applyFont="1" applyBorder="1" applyAlignment="1" applyProtection="1">
      <alignment horizontal="left" vertical="center"/>
      <protection locked="0"/>
    </xf>
    <xf numFmtId="185" fontId="0" fillId="0" borderId="0" xfId="53" applyNumberFormat="1" applyFont="1" applyBorder="1" applyAlignment="1" applyProtection="1">
      <alignment horizontal="left" vertical="center"/>
      <protection locked="0"/>
    </xf>
    <xf numFmtId="0" fontId="7" fillId="0" borderId="4" xfId="5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8" fillId="0" borderId="4" xfId="50" applyFont="1" applyFill="1" applyBorder="1" applyAlignment="1" applyProtection="1">
      <alignment horizontal="center" vertical="center" wrapText="1"/>
      <protection locked="0"/>
    </xf>
    <xf numFmtId="0" fontId="3" fillId="0" borderId="24" xfId="50" applyFont="1" applyFill="1" applyBorder="1" applyAlignment="1" applyProtection="1">
      <alignment horizontal="center" vertical="center" wrapText="1"/>
      <protection locked="0"/>
    </xf>
    <xf numFmtId="179" fontId="9" fillId="0" borderId="23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25" xfId="50" applyFont="1" applyFill="1" applyBorder="1" applyAlignment="1" applyProtection="1">
      <alignment horizontal="center" vertical="center" wrapText="1"/>
      <protection locked="0"/>
    </xf>
    <xf numFmtId="179" fontId="9" fillId="0" borderId="18" xfId="50" applyNumberFormat="1" applyFont="1" applyFill="1" applyBorder="1" applyAlignment="1" applyProtection="1">
      <alignment horizontal="center" vertical="center" wrapText="1"/>
      <protection locked="0"/>
    </xf>
    <xf numFmtId="185" fontId="2" fillId="0" borderId="4" xfId="53" applyNumberFormat="1" applyFont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26" xfId="50" applyFont="1" applyFill="1" applyBorder="1" applyAlignment="1" applyProtection="1">
      <alignment horizontal="center" vertical="center" wrapText="1"/>
      <protection locked="0"/>
    </xf>
    <xf numFmtId="0" fontId="7" fillId="0" borderId="23" xfId="50" applyFont="1" applyFill="1" applyBorder="1" applyAlignment="1" applyProtection="1">
      <alignment horizontal="center" vertical="center" wrapText="1"/>
      <protection locked="0"/>
    </xf>
    <xf numFmtId="185" fontId="2" fillId="0" borderId="23" xfId="53" applyNumberFormat="1" applyFont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/>
      <protection locked="0"/>
    </xf>
    <xf numFmtId="186" fontId="3" fillId="0" borderId="27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5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50" applyFont="1" applyFill="1" applyBorder="1" applyAlignment="1" applyProtection="1">
      <alignment horizontal="center" vertical="center" wrapText="1"/>
      <protection locked="0"/>
    </xf>
    <xf numFmtId="0" fontId="10" fillId="0" borderId="2" xfId="50" applyFont="1" applyFill="1" applyBorder="1" applyAlignment="1" applyProtection="1">
      <alignment horizontal="center" vertical="center" wrapText="1"/>
      <protection locked="0"/>
    </xf>
    <xf numFmtId="0" fontId="10" fillId="0" borderId="2" xfId="53" applyNumberFormat="1" applyFont="1" applyBorder="1" applyAlignment="1" applyProtection="1">
      <alignment horizontal="center" vertical="center"/>
      <protection locked="0"/>
    </xf>
    <xf numFmtId="0" fontId="10" fillId="0" borderId="2" xfId="50" applyNumberFormat="1" applyFont="1" applyFill="1" applyBorder="1" applyAlignment="1" applyProtection="1">
      <alignment horizontal="center" vertical="center" wrapText="1"/>
      <protection locked="0"/>
    </xf>
    <xf numFmtId="179" fontId="11" fillId="0" borderId="2" xfId="50" applyNumberFormat="1" applyFont="1" applyFill="1" applyBorder="1" applyAlignment="1" applyProtection="1">
      <alignment horizontal="center" vertical="center" wrapText="1"/>
      <protection locked="0"/>
    </xf>
    <xf numFmtId="186" fontId="3" fillId="0" borderId="0" xfId="5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50" applyFont="1" applyFill="1" applyBorder="1" applyAlignment="1" applyProtection="1">
      <alignment horizontal="center" vertical="center" wrapText="1"/>
      <protection locked="0"/>
    </xf>
    <xf numFmtId="0" fontId="10" fillId="0" borderId="4" xfId="50" applyFont="1" applyFill="1" applyBorder="1" applyAlignment="1" applyProtection="1">
      <alignment horizontal="center" vertical="center" wrapText="1"/>
      <protection locked="0"/>
    </xf>
    <xf numFmtId="0" fontId="10" fillId="0" borderId="4" xfId="53" applyNumberFormat="1" applyFont="1" applyBorder="1" applyAlignment="1" applyProtection="1">
      <alignment horizontal="center" vertical="center"/>
      <protection locked="0"/>
    </xf>
    <xf numFmtId="0" fontId="10" fillId="0" borderId="4" xfId="50" applyNumberFormat="1" applyFont="1" applyFill="1" applyBorder="1" applyAlignment="1" applyProtection="1">
      <alignment horizontal="center" vertical="center" wrapText="1"/>
      <protection locked="0"/>
    </xf>
    <xf numFmtId="179" fontId="11" fillId="0" borderId="4" xfId="50" applyNumberFormat="1" applyFont="1" applyFill="1" applyBorder="1" applyAlignment="1" applyProtection="1">
      <alignment horizontal="center" vertical="center" wrapText="1"/>
      <protection locked="0"/>
    </xf>
    <xf numFmtId="186" fontId="3" fillId="2" borderId="0" xfId="50" applyNumberFormat="1" applyFont="1" applyFill="1" applyBorder="1" applyAlignment="1" applyProtection="1">
      <alignment horizontal="center" vertical="center" wrapText="1"/>
      <protection locked="0"/>
    </xf>
    <xf numFmtId="0" fontId="10" fillId="2" borderId="3" xfId="50" applyFont="1" applyFill="1" applyBorder="1" applyAlignment="1" applyProtection="1">
      <alignment horizontal="center" vertical="center" wrapText="1"/>
      <protection locked="0"/>
    </xf>
    <xf numFmtId="0" fontId="10" fillId="2" borderId="4" xfId="50" applyFont="1" applyFill="1" applyBorder="1" applyAlignment="1" applyProtection="1">
      <alignment horizontal="center" vertical="center" wrapText="1"/>
      <protection locked="0"/>
    </xf>
    <xf numFmtId="0" fontId="10" fillId="2" borderId="4" xfId="53" applyNumberFormat="1" applyFont="1" applyFill="1" applyBorder="1" applyAlignment="1" applyProtection="1">
      <alignment horizontal="center" vertical="center"/>
      <protection locked="0"/>
    </xf>
    <xf numFmtId="0" fontId="10" fillId="2" borderId="4" xfId="50" applyNumberFormat="1" applyFont="1" applyFill="1" applyBorder="1" applyAlignment="1" applyProtection="1">
      <alignment horizontal="center" vertical="center" wrapText="1"/>
      <protection locked="0"/>
    </xf>
    <xf numFmtId="179" fontId="11" fillId="2" borderId="4" xfId="50" applyNumberFormat="1" applyFont="1" applyFill="1" applyBorder="1" applyAlignment="1" applyProtection="1">
      <alignment horizontal="center" vertical="center" wrapText="1"/>
      <protection locked="0"/>
    </xf>
    <xf numFmtId="0" fontId="10" fillId="0" borderId="9" xfId="50" applyFont="1" applyFill="1" applyBorder="1" applyAlignment="1" applyProtection="1">
      <alignment horizontal="center" vertical="center" wrapText="1"/>
      <protection locked="0"/>
    </xf>
    <xf numFmtId="0" fontId="10" fillId="0" borderId="10" xfId="50" applyFont="1" applyFill="1" applyBorder="1" applyAlignment="1" applyProtection="1">
      <alignment horizontal="center" vertical="center" wrapText="1"/>
      <protection locked="0"/>
    </xf>
    <xf numFmtId="0" fontId="10" fillId="0" borderId="10" xfId="53" applyNumberFormat="1" applyFont="1" applyBorder="1" applyAlignment="1" applyProtection="1">
      <alignment horizontal="center" vertical="center"/>
      <protection locked="0"/>
    </xf>
    <xf numFmtId="0" fontId="10" fillId="0" borderId="10" xfId="50" applyNumberFormat="1" applyFont="1" applyFill="1" applyBorder="1" applyAlignment="1" applyProtection="1">
      <alignment horizontal="center" vertical="center" wrapText="1"/>
      <protection locked="0"/>
    </xf>
    <xf numFmtId="179" fontId="11" fillId="0" borderId="10" xfId="50" applyNumberFormat="1" applyFont="1" applyFill="1" applyBorder="1" applyAlignment="1" applyProtection="1">
      <alignment horizontal="center" vertical="center" wrapText="1"/>
      <protection locked="0"/>
    </xf>
    <xf numFmtId="176" fontId="3" fillId="0" borderId="28" xfId="50" applyNumberFormat="1" applyFont="1" applyFill="1" applyBorder="1" applyAlignment="1" applyProtection="1">
      <alignment horizontal="center" vertical="center" wrapText="1"/>
      <protection locked="0"/>
    </xf>
    <xf numFmtId="176" fontId="3" fillId="0" borderId="0" xfId="5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50" applyFont="1" applyFill="1" applyBorder="1" applyAlignment="1" applyProtection="1">
      <alignment horizontal="center" vertical="center" wrapText="1"/>
      <protection locked="0"/>
    </xf>
    <xf numFmtId="0" fontId="1" fillId="0" borderId="20" xfId="50" applyFont="1" applyBorder="1" applyAlignment="1" applyProtection="1">
      <alignment horizontal="center" vertical="center" wrapText="1"/>
      <protection locked="0"/>
    </xf>
    <xf numFmtId="0" fontId="1" fillId="0" borderId="29" xfId="50" applyFont="1" applyBorder="1" applyAlignment="1" applyProtection="1">
      <alignment horizontal="center" vertical="center" wrapText="1"/>
      <protection locked="0"/>
    </xf>
    <xf numFmtId="0" fontId="1" fillId="0" borderId="4" xfId="50" applyFont="1" applyBorder="1" applyAlignment="1" applyProtection="1">
      <alignment horizontal="center" vertical="center" wrapText="1"/>
      <protection locked="0"/>
    </xf>
    <xf numFmtId="0" fontId="8" fillId="0" borderId="23" xfId="50" applyFont="1" applyFill="1" applyBorder="1" applyAlignment="1" applyProtection="1">
      <alignment horizontal="center" vertical="center" wrapText="1"/>
      <protection locked="0"/>
    </xf>
    <xf numFmtId="178" fontId="0" fillId="0" borderId="4" xfId="53" applyFont="1" applyBorder="1" applyAlignment="1" applyProtection="1">
      <alignment horizontal="center" vertical="center"/>
      <protection locked="0"/>
    </xf>
    <xf numFmtId="0" fontId="3" fillId="0" borderId="23" xfId="50" applyFont="1" applyFill="1" applyBorder="1" applyAlignment="1" applyProtection="1">
      <alignment horizontal="center" vertical="center" wrapText="1"/>
      <protection locked="0"/>
    </xf>
    <xf numFmtId="0" fontId="3" fillId="0" borderId="8" xfId="50" applyFont="1" applyFill="1" applyBorder="1" applyAlignment="1" applyProtection="1">
      <alignment horizontal="center" vertical="center" wrapText="1"/>
      <protection locked="0"/>
    </xf>
    <xf numFmtId="0" fontId="8" fillId="0" borderId="18" xfId="50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0" fillId="0" borderId="30" xfId="50" applyFont="1" applyFill="1" applyBorder="1" applyAlignment="1" applyProtection="1">
      <alignment horizontal="center" vertical="center" wrapText="1"/>
      <protection locked="0"/>
    </xf>
    <xf numFmtId="0" fontId="0" fillId="0" borderId="8" xfId="5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hidden="1"/>
    </xf>
    <xf numFmtId="0" fontId="10" fillId="0" borderId="31" xfId="50" applyFont="1" applyFill="1" applyBorder="1" applyAlignment="1" applyProtection="1">
      <alignment horizontal="center" vertical="center" wrapText="1"/>
      <protection locked="0"/>
    </xf>
    <xf numFmtId="0" fontId="10" fillId="2" borderId="31" xfId="50" applyFont="1" applyFill="1" applyBorder="1" applyAlignment="1" applyProtection="1">
      <alignment horizontal="center" vertical="center" wrapText="1"/>
      <protection locked="0"/>
    </xf>
    <xf numFmtId="0" fontId="0" fillId="2" borderId="8" xfId="50" applyNumberFormat="1" applyFont="1" applyFill="1" applyBorder="1" applyAlignment="1" applyProtection="1">
      <alignment horizontal="center" vertical="center" wrapText="1"/>
      <protection hidden="1"/>
    </xf>
    <xf numFmtId="0" fontId="0" fillId="2" borderId="4" xfId="0" applyFont="1" applyFill="1" applyBorder="1" applyAlignment="1" applyProtection="1">
      <alignment horizontal="center" vertical="center"/>
      <protection hidden="1"/>
    </xf>
    <xf numFmtId="0" fontId="3" fillId="2" borderId="4" xfId="50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50" applyNumberFormat="1" applyFont="1" applyFill="1" applyBorder="1" applyAlignment="1" applyProtection="1">
      <alignment horizontal="center" vertical="center" wrapText="1"/>
      <protection hidden="1"/>
    </xf>
    <xf numFmtId="0" fontId="10" fillId="0" borderId="32" xfId="50" applyFont="1" applyFill="1" applyBorder="1" applyAlignment="1" applyProtection="1">
      <alignment horizontal="center" vertical="center" wrapText="1"/>
      <protection locked="0"/>
    </xf>
    <xf numFmtId="0" fontId="13" fillId="0" borderId="0" xfId="50" applyFont="1" applyFill="1" applyBorder="1" applyAlignment="1" applyProtection="1">
      <alignment horizontal="center" vertical="center" wrapText="1"/>
      <protection locked="0"/>
    </xf>
    <xf numFmtId="0" fontId="3" fillId="0" borderId="6" xfId="50" applyFont="1" applyFill="1" applyBorder="1" applyAlignment="1" applyProtection="1">
      <alignment horizontal="center" vertical="center" wrapText="1"/>
      <protection locked="0"/>
    </xf>
    <xf numFmtId="0" fontId="3" fillId="0" borderId="4" xfId="50" applyNumberFormat="1" applyFont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4" xfId="50" applyFont="1" applyBorder="1" applyAlignment="1" applyProtection="1">
      <alignment horizontal="center" vertical="center" wrapText="1"/>
      <protection locked="0"/>
    </xf>
    <xf numFmtId="0" fontId="3" fillId="0" borderId="0" xfId="5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5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30" xfId="0" applyFont="1" applyFill="1" applyBorder="1" applyAlignment="1" applyProtection="1">
      <alignment horizontal="center" vertical="center"/>
      <protection locked="0"/>
    </xf>
    <xf numFmtId="178" fontId="2" fillId="0" borderId="8" xfId="53" applyFont="1" applyBorder="1" applyAlignment="1" applyProtection="1">
      <alignment horizontal="right" vertical="center"/>
      <protection locked="0"/>
    </xf>
    <xf numFmtId="0" fontId="0" fillId="0" borderId="4" xfId="0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31" xfId="0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vertical="center"/>
      <protection locked="0"/>
    </xf>
    <xf numFmtId="0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hidden="1"/>
    </xf>
    <xf numFmtId="186" fontId="3" fillId="0" borderId="4" xfId="50" applyNumberFormat="1" applyFont="1" applyFill="1" applyBorder="1" applyAlignment="1" applyProtection="1">
      <alignment horizontal="center" vertical="center" wrapText="1"/>
      <protection hidden="1"/>
    </xf>
    <xf numFmtId="185" fontId="0" fillId="0" borderId="31" xfId="53" applyNumberFormat="1" applyFont="1" applyBorder="1" applyAlignment="1" applyProtection="1">
      <alignment horizontal="center" vertical="center"/>
      <protection hidden="1"/>
    </xf>
    <xf numFmtId="0" fontId="3" fillId="0" borderId="8" xfId="50" applyFont="1" applyFill="1" applyBorder="1" applyAlignment="1" applyProtection="1">
      <alignment horizontal="center" vertical="center" wrapText="1"/>
      <protection hidden="1"/>
    </xf>
    <xf numFmtId="0" fontId="14" fillId="0" borderId="4" xfId="51" applyFont="1" applyFill="1" applyBorder="1" applyAlignment="1" applyProtection="1">
      <alignment horizontal="center" vertical="center"/>
      <protection hidden="1"/>
    </xf>
    <xf numFmtId="0" fontId="14" fillId="0" borderId="4" xfId="51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2" borderId="3" xfId="0" applyFont="1" applyFill="1" applyBorder="1" applyAlignment="1" applyProtection="1">
      <alignment horizontal="center" vertical="center"/>
      <protection hidden="1"/>
    </xf>
    <xf numFmtId="186" fontId="3" fillId="2" borderId="4" xfId="50" applyNumberFormat="1" applyFont="1" applyFill="1" applyBorder="1" applyAlignment="1" applyProtection="1">
      <alignment horizontal="center" vertical="center" wrapText="1"/>
      <protection hidden="1"/>
    </xf>
    <xf numFmtId="185" fontId="0" fillId="2" borderId="31" xfId="53" applyNumberFormat="1" applyFont="1" applyFill="1" applyBorder="1" applyAlignment="1" applyProtection="1">
      <alignment horizontal="center" vertical="center"/>
      <protection hidden="1"/>
    </xf>
    <xf numFmtId="0" fontId="3" fillId="2" borderId="8" xfId="50" applyFont="1" applyFill="1" applyBorder="1" applyAlignment="1" applyProtection="1">
      <alignment horizontal="center" vertical="center" wrapText="1"/>
      <protection hidden="1"/>
    </xf>
    <xf numFmtId="0" fontId="14" fillId="2" borderId="4" xfId="51" applyFont="1" applyFill="1" applyBorder="1" applyAlignment="1" applyProtection="1">
      <alignment horizontal="center" vertical="center"/>
      <protection hidden="1"/>
    </xf>
    <xf numFmtId="0" fontId="14" fillId="2" borderId="4" xfId="51" applyNumberFormat="1" applyFont="1" applyFill="1" applyBorder="1" applyAlignment="1" applyProtection="1">
      <alignment horizontal="center" vertical="center"/>
      <protection hidden="1"/>
    </xf>
    <xf numFmtId="0" fontId="0" fillId="2" borderId="0" xfId="0" applyFont="1" applyFill="1" applyBorder="1" applyProtection="1">
      <protection hidden="1"/>
    </xf>
    <xf numFmtId="0" fontId="14" fillId="0" borderId="4" xfId="0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Protection="1">
      <protection hidden="1"/>
    </xf>
    <xf numFmtId="0" fontId="0" fillId="0" borderId="9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horizontal="center" vertical="center"/>
      <protection locked="0"/>
    </xf>
    <xf numFmtId="0" fontId="0" fillId="2" borderId="0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right"/>
      <protection locked="0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货币 3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货币 2" xfId="53"/>
  </cellStyles>
  <tableStyles count="0" defaultTableStyle="TableStyleMedium2" defaultPivotStyle="PivotStyleLight16"/>
  <colors>
    <mruColors>
      <color rgb="00FFFF99"/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204470</xdr:colOff>
      <xdr:row>1</xdr:row>
      <xdr:rowOff>17145</xdr:rowOff>
    </xdr:from>
    <xdr:to>
      <xdr:col>12</xdr:col>
      <xdr:colOff>277870</xdr:colOff>
      <xdr:row>1</xdr:row>
      <xdr:rowOff>17145</xdr:rowOff>
    </xdr:to>
    <xdr:cxnSp>
      <xdr:nvCxnSpPr>
        <xdr:cNvPr id="4" name="直接连接符 3"/>
        <xdr:cNvCxnSpPr/>
      </xdr:nvCxnSpPr>
      <xdr:spPr>
        <a:xfrm>
          <a:off x="6329045" y="653415"/>
          <a:ext cx="2159000" cy="0"/>
        </a:xfrm>
        <a:prstGeom prst="line">
          <a:avLst/>
        </a:prstGeom>
        <a:ln w="38100" cmpd="thickThin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480060</xdr:colOff>
      <xdr:row>28</xdr:row>
      <xdr:rowOff>50165</xdr:rowOff>
    </xdr:from>
    <xdr:ext cx="920115" cy="393065"/>
    <xdr:pic>
      <xdr:nvPicPr>
        <xdr:cNvPr id="3" name="图片 18"/>
        <xdr:cNvPicPr>
          <a:picLocks noChangeAspect="1"/>
        </xdr:cNvPicPr>
      </xdr:nvPicPr>
      <xdr:blipFill>
        <a:blip r:embed="rId1"/>
        <a:srcRect l="20084" t="37378" r="34129" b="32578"/>
        <a:stretch>
          <a:fillRect/>
        </a:stretch>
      </xdr:blipFill>
      <xdr:spPr>
        <a:xfrm>
          <a:off x="10119360" y="9084310"/>
          <a:ext cx="920115" cy="393065"/>
        </a:xfrm>
        <a:prstGeom prst="rect">
          <a:avLst/>
        </a:prstGeom>
        <a:noFill/>
        <a:ln w="9525">
          <a:noFill/>
        </a:ln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581025</xdr:colOff>
          <xdr:row>27</xdr:row>
          <xdr:rowOff>197485</xdr:rowOff>
        </xdr:from>
        <xdr:to>
          <xdr:col>9</xdr:col>
          <xdr:colOff>668655</xdr:colOff>
          <xdr:row>30</xdr:row>
          <xdr:rowOff>36830</xdr:rowOff>
        </xdr:to>
        <xdr:sp>
          <xdr:nvSpPr>
            <xdr:cNvPr id="3080" name="Object 6583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5895975" y="8926830"/>
              <a:ext cx="897255" cy="647065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3</xdr:col>
      <xdr:colOff>205105</xdr:colOff>
      <xdr:row>28</xdr:row>
      <xdr:rowOff>73025</xdr:rowOff>
    </xdr:from>
    <xdr:to>
      <xdr:col>3</xdr:col>
      <xdr:colOff>767715</xdr:colOff>
      <xdr:row>29</xdr:row>
      <xdr:rowOff>133350</xdr:rowOff>
    </xdr:to>
    <xdr:pic>
      <xdr:nvPicPr>
        <xdr:cNvPr id="2" name="图片 2" descr="C:/Users/ADMINI~1/AppData/Local/Temp/kaimatting/20201127163450/output_aiMatting_20201127163455.pngoutput_aiMatting_2020112716345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567180" y="9107170"/>
          <a:ext cx="562610" cy="3536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E48"/>
  <sheetViews>
    <sheetView tabSelected="1" view="pageBreakPreview" zoomScale="70" zoomScaleNormal="70" zoomScaleSheetLayoutView="70" workbookViewId="0">
      <selection activeCell="M30" sqref="M30"/>
    </sheetView>
  </sheetViews>
  <sheetFormatPr defaultColWidth="9" defaultRowHeight="14.25"/>
  <cols>
    <col min="1" max="1" width="4.125" style="3" customWidth="1"/>
    <col min="2" max="2" width="11.625" style="4" customWidth="1"/>
    <col min="3" max="3" width="2.125" style="4" customWidth="1"/>
    <col min="4" max="4" width="11.625" style="5" customWidth="1"/>
    <col min="5" max="5" width="15.375" style="1" customWidth="1"/>
    <col min="6" max="6" width="8.625" style="1" customWidth="1"/>
    <col min="7" max="7" width="7.625" style="1" customWidth="1"/>
    <col min="8" max="8" width="8.625" style="1" customWidth="1"/>
    <col min="9" max="9" width="10.625" style="4" customWidth="1"/>
    <col min="10" max="12" width="9.125" style="4" customWidth="1"/>
    <col min="13" max="13" width="9.625" style="6" customWidth="1"/>
    <col min="14" max="14" width="9.125" style="4" customWidth="1"/>
    <col min="15" max="17" width="10.125" style="4" customWidth="1"/>
    <col min="18" max="18" width="1.625" style="4" customWidth="1"/>
    <col min="19" max="22" width="6.625" style="4" customWidth="1"/>
    <col min="23" max="23" width="9.125" style="7" customWidth="1"/>
    <col min="24" max="26" width="7.625" style="4" customWidth="1"/>
    <col min="27" max="27" width="7.25" style="4" customWidth="1"/>
    <col min="28" max="29" width="7.375" style="7" customWidth="1"/>
    <col min="30" max="30" width="7.25" style="4" customWidth="1"/>
    <col min="31" max="39" width="7.625" style="4" customWidth="1"/>
    <col min="40" max="40" width="7.625" style="4" hidden="1" customWidth="1"/>
    <col min="41" max="41" width="4.625" style="7" hidden="1" customWidth="1"/>
    <col min="42" max="43" width="4.625" style="4" hidden="1" customWidth="1"/>
    <col min="44" max="44" width="6.5" style="4" hidden="1" customWidth="1"/>
    <col min="45" max="45" width="7.5" style="4" hidden="1" customWidth="1"/>
    <col min="46" max="46" width="5.625" style="4" hidden="1" customWidth="1"/>
    <col min="47" max="47" width="7.25" style="4" hidden="1" customWidth="1"/>
    <col min="48" max="57" width="9" style="8"/>
    <col min="58" max="16384" width="9" style="4"/>
  </cols>
  <sheetData>
    <row r="1" ht="50.1" customHeight="1" spans="2:44">
      <c r="B1" s="9"/>
      <c r="C1" s="9"/>
      <c r="D1" s="9"/>
      <c r="E1" s="9"/>
      <c r="F1" s="9"/>
      <c r="G1" s="9"/>
      <c r="H1" s="9"/>
      <c r="I1" s="9"/>
      <c r="J1" s="31" t="s">
        <v>0</v>
      </c>
      <c r="K1" s="31"/>
      <c r="L1" s="31"/>
      <c r="M1" s="9"/>
      <c r="N1" s="9"/>
      <c r="O1" s="9"/>
      <c r="P1" s="32">
        <v>34</v>
      </c>
      <c r="Q1" s="9"/>
      <c r="R1" s="32"/>
      <c r="S1" s="56"/>
      <c r="T1" s="56"/>
      <c r="U1" s="57" t="s">
        <v>1</v>
      </c>
      <c r="V1" s="57"/>
      <c r="W1" s="58" t="s">
        <v>2</v>
      </c>
      <c r="X1" s="59" t="s">
        <v>3</v>
      </c>
      <c r="Y1" s="102"/>
      <c r="Z1" s="102"/>
      <c r="AA1" s="102"/>
      <c r="AB1" s="102"/>
      <c r="AC1" s="102"/>
      <c r="AD1" s="103"/>
      <c r="AE1" s="104" t="s">
        <v>4</v>
      </c>
      <c r="AF1" s="104"/>
      <c r="AG1" s="104"/>
      <c r="AH1" s="104"/>
      <c r="AI1" s="104"/>
      <c r="AJ1" s="104"/>
      <c r="AK1" s="104"/>
      <c r="AL1" s="104"/>
      <c r="AM1" s="16" t="s">
        <v>5</v>
      </c>
      <c r="AN1" s="43"/>
      <c r="AP1" s="32"/>
      <c r="AQ1" s="32"/>
      <c r="AR1" s="56"/>
    </row>
    <row r="2" s="1" customFormat="1" ht="24" customHeight="1" spans="1:57">
      <c r="A2" s="10" t="s">
        <v>6</v>
      </c>
      <c r="B2" s="11"/>
      <c r="C2" s="11"/>
      <c r="D2" s="11"/>
      <c r="E2" s="11"/>
      <c r="F2" s="11"/>
      <c r="G2" s="11"/>
      <c r="H2" s="11"/>
      <c r="I2" s="11"/>
      <c r="J2" s="33"/>
      <c r="K2" s="33"/>
      <c r="L2" s="34"/>
      <c r="M2" s="34"/>
      <c r="N2" s="35"/>
      <c r="O2" s="36" t="s">
        <v>7</v>
      </c>
      <c r="P2" s="37">
        <v>1</v>
      </c>
      <c r="Q2" s="60">
        <v>1</v>
      </c>
      <c r="R2" s="61"/>
      <c r="S2" s="62" t="s">
        <v>8</v>
      </c>
      <c r="T2" s="62" t="s">
        <v>9</v>
      </c>
      <c r="U2" s="57"/>
      <c r="V2" s="57"/>
      <c r="W2" s="63"/>
      <c r="X2" s="64" t="s">
        <v>10</v>
      </c>
      <c r="Y2" s="64"/>
      <c r="Z2" s="105" t="s">
        <v>11</v>
      </c>
      <c r="AA2" s="106" t="s">
        <v>12</v>
      </c>
      <c r="AB2" s="106"/>
      <c r="AC2" s="106"/>
      <c r="AD2" s="107" t="s">
        <v>13</v>
      </c>
      <c r="AE2" s="108" t="s">
        <v>14</v>
      </c>
      <c r="AF2" s="16"/>
      <c r="AG2" s="16"/>
      <c r="AH2" s="123"/>
      <c r="AI2" s="16" t="s">
        <v>15</v>
      </c>
      <c r="AJ2" s="107" t="s">
        <v>16</v>
      </c>
      <c r="AK2" s="124" t="s">
        <v>17</v>
      </c>
      <c r="AL2" s="124"/>
      <c r="AM2" s="16"/>
      <c r="AN2" s="43"/>
      <c r="AO2" s="129" t="s">
        <v>18</v>
      </c>
      <c r="AP2" s="130"/>
      <c r="AQ2" s="131"/>
      <c r="AR2" s="132"/>
      <c r="AS2" s="133"/>
      <c r="AT2" s="133"/>
      <c r="AU2" s="133"/>
      <c r="AV2" s="134"/>
      <c r="AW2" s="134"/>
      <c r="AX2" s="134"/>
      <c r="AY2" s="134"/>
      <c r="AZ2" s="134"/>
      <c r="BA2" s="134"/>
      <c r="BB2" s="134"/>
      <c r="BC2" s="134"/>
      <c r="BD2" s="134"/>
      <c r="BE2" s="134"/>
    </row>
    <row r="3" s="1" customFormat="1" ht="23.1" customHeight="1" spans="1:57">
      <c r="A3" s="12" t="s">
        <v>19</v>
      </c>
      <c r="B3" s="13" t="s">
        <v>20</v>
      </c>
      <c r="C3" s="13"/>
      <c r="D3" s="13"/>
      <c r="E3" s="13" t="s">
        <v>21</v>
      </c>
      <c r="F3" s="13" t="s">
        <v>22</v>
      </c>
      <c r="G3" s="14" t="s">
        <v>23</v>
      </c>
      <c r="H3" s="14" t="s">
        <v>24</v>
      </c>
      <c r="I3" s="14" t="s">
        <v>25</v>
      </c>
      <c r="J3" s="13" t="s">
        <v>26</v>
      </c>
      <c r="K3" s="13"/>
      <c r="L3" s="13"/>
      <c r="M3" s="13"/>
      <c r="N3" s="38" t="s">
        <v>27</v>
      </c>
      <c r="O3" s="39" t="s">
        <v>28</v>
      </c>
      <c r="P3" s="40"/>
      <c r="Q3" s="65"/>
      <c r="R3" s="43"/>
      <c r="S3" s="62"/>
      <c r="T3" s="62"/>
      <c r="U3" s="57"/>
      <c r="V3" s="57"/>
      <c r="W3" s="66" t="s">
        <v>29</v>
      </c>
      <c r="X3" s="64"/>
      <c r="Y3" s="64"/>
      <c r="Z3" s="109"/>
      <c r="AA3" s="106"/>
      <c r="AB3" s="106"/>
      <c r="AC3" s="106"/>
      <c r="AD3" s="45"/>
      <c r="AE3" s="108"/>
      <c r="AF3" s="16"/>
      <c r="AG3" s="16"/>
      <c r="AH3" s="123"/>
      <c r="AI3" s="16"/>
      <c r="AJ3" s="45"/>
      <c r="AK3" s="124"/>
      <c r="AL3" s="124"/>
      <c r="AM3" s="16"/>
      <c r="AN3" s="43"/>
      <c r="AO3" s="135"/>
      <c r="AP3" s="136"/>
      <c r="AQ3" s="137"/>
      <c r="AR3" s="108"/>
      <c r="AS3" s="138"/>
      <c r="AT3" s="138"/>
      <c r="AU3" s="138"/>
      <c r="AV3" s="134"/>
      <c r="AW3" s="134"/>
      <c r="AX3" s="134"/>
      <c r="AY3" s="134"/>
      <c r="AZ3" s="134"/>
      <c r="BA3" s="134"/>
      <c r="BB3" s="134"/>
      <c r="BC3" s="134"/>
      <c r="BD3" s="134"/>
      <c r="BE3" s="134"/>
    </row>
    <row r="4" s="1" customFormat="1" ht="23.1" customHeight="1" spans="1:57">
      <c r="A4" s="15"/>
      <c r="B4" s="16"/>
      <c r="C4" s="16"/>
      <c r="D4" s="16"/>
      <c r="E4" s="16"/>
      <c r="F4" s="16"/>
      <c r="G4" s="17"/>
      <c r="H4" s="17"/>
      <c r="I4" s="17"/>
      <c r="J4" s="16"/>
      <c r="K4" s="16"/>
      <c r="L4" s="16"/>
      <c r="M4" s="16"/>
      <c r="N4" s="41"/>
      <c r="O4" s="42"/>
      <c r="P4" s="43"/>
      <c r="Q4" s="67"/>
      <c r="R4" s="43"/>
      <c r="S4" s="62"/>
      <c r="T4" s="62"/>
      <c r="U4" s="57"/>
      <c r="V4" s="57"/>
      <c r="W4" s="68"/>
      <c r="X4" s="62" t="s">
        <v>30</v>
      </c>
      <c r="Y4" s="62" t="s">
        <v>31</v>
      </c>
      <c r="Z4" s="62" t="s">
        <v>32</v>
      </c>
      <c r="AA4" s="16" t="s">
        <v>33</v>
      </c>
      <c r="AB4" s="16" t="s">
        <v>34</v>
      </c>
      <c r="AC4" s="107" t="s">
        <v>35</v>
      </c>
      <c r="AD4" s="110">
        <v>0.1</v>
      </c>
      <c r="AE4" s="108" t="s">
        <v>36</v>
      </c>
      <c r="AF4" s="16" t="s">
        <v>27</v>
      </c>
      <c r="AG4" s="16" t="s">
        <v>37</v>
      </c>
      <c r="AH4" s="16" t="s">
        <v>38</v>
      </c>
      <c r="AI4" s="44" t="s">
        <v>39</v>
      </c>
      <c r="AJ4" s="16" t="s">
        <v>38</v>
      </c>
      <c r="AK4" s="124" t="s">
        <v>40</v>
      </c>
      <c r="AL4" s="125" t="s">
        <v>41</v>
      </c>
      <c r="AM4" s="16" t="s">
        <v>42</v>
      </c>
      <c r="AN4" s="43"/>
      <c r="AO4" s="135"/>
      <c r="AP4" s="136"/>
      <c r="AQ4" s="137"/>
      <c r="AR4" s="108"/>
      <c r="AS4" s="16"/>
      <c r="AT4" s="124" t="s">
        <v>40</v>
      </c>
      <c r="AU4" s="125" t="s">
        <v>41</v>
      </c>
      <c r="AV4" s="43"/>
      <c r="AW4" s="43"/>
      <c r="AX4" s="43"/>
      <c r="AY4" s="43"/>
      <c r="AZ4" s="43"/>
      <c r="BA4" s="43"/>
      <c r="BB4" s="43"/>
      <c r="BC4" s="43"/>
      <c r="BD4" s="43"/>
      <c r="BE4" s="43"/>
    </row>
    <row r="5" s="1" customFormat="1" ht="39.95" customHeight="1" spans="1:57">
      <c r="A5" s="15"/>
      <c r="B5" s="16"/>
      <c r="C5" s="16"/>
      <c r="D5" s="16"/>
      <c r="E5" s="16"/>
      <c r="F5" s="16"/>
      <c r="G5" s="17"/>
      <c r="H5" s="17"/>
      <c r="I5" s="17"/>
      <c r="J5" s="16" t="s">
        <v>36</v>
      </c>
      <c r="K5" s="16" t="s">
        <v>37</v>
      </c>
      <c r="L5" s="16" t="s">
        <v>38</v>
      </c>
      <c r="M5" s="44" t="str">
        <f>IF(W3="公 路","沥青麻絮",IF(W3="水 利","沥青木板",""))</f>
        <v>沥青麻絮</v>
      </c>
      <c r="N5" s="45"/>
      <c r="O5" s="42"/>
      <c r="P5" s="43"/>
      <c r="Q5" s="67"/>
      <c r="R5" s="43"/>
      <c r="S5" s="62"/>
      <c r="T5" s="62"/>
      <c r="U5" s="69" t="s">
        <v>43</v>
      </c>
      <c r="V5" s="69" t="s">
        <v>44</v>
      </c>
      <c r="W5" s="70" t="s">
        <v>45</v>
      </c>
      <c r="X5" s="62"/>
      <c r="Y5" s="62"/>
      <c r="Z5" s="62"/>
      <c r="AA5" s="16"/>
      <c r="AB5" s="16"/>
      <c r="AC5" s="45"/>
      <c r="AD5" s="111"/>
      <c r="AE5" s="108"/>
      <c r="AF5" s="16"/>
      <c r="AG5" s="16"/>
      <c r="AH5" s="16"/>
      <c r="AI5" s="44"/>
      <c r="AJ5" s="16"/>
      <c r="AK5" s="124"/>
      <c r="AL5" s="125"/>
      <c r="AM5" s="16"/>
      <c r="AN5" s="43"/>
      <c r="AO5" s="135"/>
      <c r="AP5" s="136"/>
      <c r="AQ5" s="137"/>
      <c r="AR5" s="108"/>
      <c r="AS5" s="16"/>
      <c r="AT5" s="124"/>
      <c r="AU5" s="125"/>
      <c r="AV5" s="43"/>
      <c r="AW5" s="43"/>
      <c r="AX5" s="43"/>
      <c r="AY5" s="43"/>
      <c r="AZ5" s="43"/>
      <c r="BA5" s="43"/>
      <c r="BB5" s="43"/>
      <c r="BC5" s="43"/>
      <c r="BD5" s="43"/>
      <c r="BE5" s="43"/>
    </row>
    <row r="6" s="1" customFormat="1" ht="23.1" customHeight="1" spans="1:57">
      <c r="A6" s="15"/>
      <c r="B6" s="16"/>
      <c r="C6" s="16"/>
      <c r="D6" s="16"/>
      <c r="E6" s="16"/>
      <c r="F6" s="16"/>
      <c r="G6" s="17" t="s">
        <v>46</v>
      </c>
      <c r="H6" s="17" t="s">
        <v>46</v>
      </c>
      <c r="I6" s="17" t="s">
        <v>47</v>
      </c>
      <c r="J6" s="16" t="s">
        <v>48</v>
      </c>
      <c r="K6" s="16" t="s">
        <v>49</v>
      </c>
      <c r="L6" s="16" t="s">
        <v>48</v>
      </c>
      <c r="M6" s="46" t="s">
        <v>49</v>
      </c>
      <c r="N6" s="16" t="s">
        <v>48</v>
      </c>
      <c r="O6" s="47"/>
      <c r="P6" s="48"/>
      <c r="Q6" s="71"/>
      <c r="R6" s="43"/>
      <c r="S6" s="72" t="s">
        <v>50</v>
      </c>
      <c r="T6" s="72" t="s">
        <v>50</v>
      </c>
      <c r="U6" s="73"/>
      <c r="V6" s="73"/>
      <c r="W6" s="74"/>
      <c r="X6" s="72" t="s">
        <v>50</v>
      </c>
      <c r="Y6" s="72" t="s">
        <v>50</v>
      </c>
      <c r="Z6" s="72" t="s">
        <v>50</v>
      </c>
      <c r="AA6" s="16" t="s">
        <v>50</v>
      </c>
      <c r="AB6" s="16" t="s">
        <v>50</v>
      </c>
      <c r="AC6" s="16" t="s">
        <v>50</v>
      </c>
      <c r="AD6" s="16" t="s">
        <v>50</v>
      </c>
      <c r="AE6" s="108" t="s">
        <v>48</v>
      </c>
      <c r="AF6" s="16" t="s">
        <v>48</v>
      </c>
      <c r="AG6" s="16" t="s">
        <v>49</v>
      </c>
      <c r="AH6" s="16" t="s">
        <v>48</v>
      </c>
      <c r="AI6" s="46" t="s">
        <v>49</v>
      </c>
      <c r="AJ6" s="126" t="s">
        <v>48</v>
      </c>
      <c r="AK6" s="126" t="s">
        <v>48</v>
      </c>
      <c r="AL6" s="126" t="s">
        <v>51</v>
      </c>
      <c r="AM6" s="16" t="s">
        <v>48</v>
      </c>
      <c r="AN6" s="43"/>
      <c r="AO6" s="135"/>
      <c r="AP6" s="136"/>
      <c r="AQ6" s="137"/>
      <c r="AR6" s="108"/>
      <c r="AS6" s="139">
        <v>1</v>
      </c>
      <c r="AT6" s="139">
        <v>7</v>
      </c>
      <c r="AU6" s="139">
        <v>9</v>
      </c>
      <c r="AV6" s="134"/>
      <c r="AW6" s="134"/>
      <c r="AX6" s="134"/>
      <c r="AY6" s="134"/>
      <c r="AZ6" s="134"/>
      <c r="BA6" s="134"/>
      <c r="BB6" s="134"/>
      <c r="BC6" s="134"/>
      <c r="BD6" s="134"/>
      <c r="BE6" s="134"/>
    </row>
    <row r="7" s="1" customFormat="1" ht="24" customHeight="1" spans="1:57">
      <c r="A7" s="18">
        <v>1</v>
      </c>
      <c r="B7" s="19" t="str">
        <f t="shared" ref="B7:B8" si="0">IF(U7="","",AP7&amp;TEXT(AQ7,"K0+000.00"))</f>
        <v>K0+000.00</v>
      </c>
      <c r="C7" s="20" t="str">
        <f>IF(D7="","","～")</f>
        <v>～</v>
      </c>
      <c r="D7" s="21" t="str">
        <f t="shared" ref="D7:D8" si="1">IF(V7="","",AP7&amp;TEXT(V7,"K0+000.00"))</f>
        <v>K0+098.00</v>
      </c>
      <c r="E7" s="22" t="str">
        <f>IF(G7="","","浆砌石边沟")</f>
        <v>浆砌石边沟</v>
      </c>
      <c r="F7" s="23" t="str">
        <f t="shared" ref="F7:F27" si="2">IF(B7="","",W7)</f>
        <v>道路左侧</v>
      </c>
      <c r="G7" s="24">
        <f t="shared" ref="G7:G27" si="3">IF(D7="","",IF(F7="道路两侧",2*(V7-AQ7)-T7,V7-AQ7-T7))</f>
        <v>98</v>
      </c>
      <c r="H7" s="24" t="str">
        <f t="shared" ref="H7" si="4">IF(U7="","",TEXT(X7,"0.0")&amp;AO7&amp;TEXT(Y7,"0.0"))</f>
        <v>0.5×0.5</v>
      </c>
      <c r="I7" s="49" t="str">
        <f>IF(G7="","","与路基同坡")</f>
        <v>与路基同坡</v>
      </c>
      <c r="J7" s="49">
        <f t="shared" ref="J7:J27" si="5">IF(OR(G7="",F7=""),"",AE7*$G7)</f>
        <v>12.74</v>
      </c>
      <c r="K7" s="49">
        <f t="shared" ref="K7:K27" si="6">IF(OR(G7="",F7=""),"",AG7*$G7)</f>
        <v>127.4</v>
      </c>
      <c r="L7" s="49">
        <f>IF(OR(G7="",F7=""),"",AH7*($G7-S7)+S7*AJ7)</f>
        <v>90.16</v>
      </c>
      <c r="M7" s="24">
        <f t="shared" ref="M7:M27" si="7">IF(OR(G7="",F7=""),"",IF(V7-AQ7&lt;10,0,IF($G7-10*INT($G7/10)&gt;=4,AI7*INT($G7/10),IF($G7-10*INT($G7/10)&lt;4,AI7*(INT($G7/10)-1),""))))</f>
        <v>2.43</v>
      </c>
      <c r="N7" s="49">
        <f>IF(OR(G7="",F7=""),"",AF7*$G7)</f>
        <v>127.4</v>
      </c>
      <c r="O7" s="50" t="str">
        <f t="shared" ref="O7:O27" si="8">IF(T7="","","扣除"&amp;T7&amp;"米无需修建处")</f>
        <v/>
      </c>
      <c r="P7" s="51"/>
      <c r="Q7" s="75"/>
      <c r="R7" s="76"/>
      <c r="S7" s="77"/>
      <c r="T7" s="78"/>
      <c r="U7" s="79">
        <v>0</v>
      </c>
      <c r="V7" s="80">
        <v>98</v>
      </c>
      <c r="W7" s="81" t="s">
        <v>52</v>
      </c>
      <c r="X7" s="78">
        <v>0.5</v>
      </c>
      <c r="Y7" s="78">
        <v>0.5</v>
      </c>
      <c r="Z7" s="112"/>
      <c r="AA7" s="113">
        <f>IF(Y7=0,"",IF(Y7&lt;=0.4,0.3,IF(Y7&lt;=0.7,0.4,IF(Y7&lt;0.9,0.45,IF(Y7&lt;=1,0.5,IF(Y7&gt;1,ROUND(FORECAST(Y7,{0.5,1.3},{1,3}),2),""))))))</f>
        <v>0.4</v>
      </c>
      <c r="AB7" s="114" t="str">
        <f>IF(Z7=0,"",IF(Z7&lt;=0.4,0.3,IF(Z7&lt;=0.7,0.4,IF(Z7&lt;0.9,0.45,IF(Z7&lt;=1,0.5,IF(Z7&gt;1,ROUND(FORECAST(Z7,{0.5,1.3},{1,3}),2),""))))))</f>
        <v/>
      </c>
      <c r="AC7" s="24">
        <f>IF(OR(X7="",Y7=""),"",IF(OR(Z7="",Z7&gt;Y7),AA7,AB7))</f>
        <v>0.4</v>
      </c>
      <c r="AD7" s="114">
        <f>IF(OR(X7="",Y7=""),"",$AD$4)</f>
        <v>0.1</v>
      </c>
      <c r="AE7" s="21">
        <f>IF(OR(X7="",Y7=""),"",IF(Z7="",(AA7*2+X7)*AD7,(AA7+AB7+X7)*AD7))</f>
        <v>0.13</v>
      </c>
      <c r="AF7" s="24">
        <f>IF(OR(X7="",Y7=""),"",IF(Z7="",(AA7*2+X7)*(Y7+AC7+AD7),(AA7+AB7+X7)*(Y7+Z7+2*AC7+2*AD7)/2))</f>
        <v>1.3</v>
      </c>
      <c r="AG7" s="24">
        <f>IF(OR(X7="",Y7=""),"",IF(Z7="",AA7*2+X7,AA7+AB7+X7))</f>
        <v>1.3</v>
      </c>
      <c r="AH7" s="24">
        <f>IF(OR(X7="",Y7=""),"",IF(Z7="",2*Y7*AA7+(2*AA7+X7)*AC7,Y7*AA7+Z7*AB7+(AA7+X7+AB7)*AC7))</f>
        <v>0.92</v>
      </c>
      <c r="AI7" s="24">
        <f>IF(OR(X7="",Y7=""),"",IF(Z7="",(Y7*2+0.3+X7)*0.15,(Y7+Z7+0.3+X7)*0.15))</f>
        <v>0.27</v>
      </c>
      <c r="AJ7" s="24">
        <f>IF(OR(X7="",Y7=""),"",2*Y7*AA7+(2*AA7+X7)*AC7+AM7)</f>
        <v>0.956</v>
      </c>
      <c r="AK7" s="24">
        <f>IF(OR(X7="",Y7=""),"",IF(X7=0.4,$AT$7,IF(X7=0.5,$AT$8,IF(X7=0.6,$AT$9,IF(X7=0.7,$AT$10,IF(X7=0.8,$AT$11,IF(X7=1,$AT$12,"净宽值有误")))))))</f>
        <v>0.097</v>
      </c>
      <c r="AL7" s="24">
        <f>IF(OR(X7="",Y7=""),"",IF(X7=0.4,$AU$7,IF(X7=0.5,$AU$8,IF(X7=0.6,$AU$9,IF(X7=0.7,$AU$10,IF(X7=0.8,$AU$11,IF(X7=1,$AU$12,"净宽值有误")))))))</f>
        <v>10.762</v>
      </c>
      <c r="AM7" s="24">
        <f>IF(OR(X7="",Y7=""),"",IF(X7=0.4,2*(0.1*AA7-0.13*0.1),IF(X7=0.5,2*(0.1*AA7-0.2*0.11),IF(X7=0.6,2*(0.1*AA7-0.2*0.12),IF(X7=0.7,2*(0.1*AA7-0.2*0.13),IF(X7=0.8,2*(0.1*AA7-0.2*0.14),IF(X7=1,2*(0.1*AA7-0.2*0.16),"净宽值有误")))))))</f>
        <v>0.036</v>
      </c>
      <c r="AN7" s="127"/>
      <c r="AO7" s="140" t="str">
        <f>IF(X7="","","×")</f>
        <v>×</v>
      </c>
      <c r="AP7" s="141" t="str">
        <f t="shared" ref="AP7" si="9">IF(U7="","",IF(ISNUMBER(U7),"",MID(U7,1,1)))</f>
        <v/>
      </c>
      <c r="AQ7" s="142" t="str">
        <f>IF(U7="","",IF(ISNUMBER(U7),MID(U7,1,4),MID(U7,2,4)))</f>
        <v>0</v>
      </c>
      <c r="AR7" s="143">
        <v>0.4</v>
      </c>
      <c r="AS7" s="144" t="s">
        <v>53</v>
      </c>
      <c r="AT7" s="145">
        <v>0.064</v>
      </c>
      <c r="AU7" s="145">
        <v>6.741</v>
      </c>
      <c r="AV7" s="146"/>
      <c r="AW7" s="134"/>
      <c r="AX7" s="134"/>
      <c r="AY7" s="134"/>
      <c r="AZ7" s="134"/>
      <c r="BA7" s="134"/>
      <c r="BB7" s="134"/>
      <c r="BC7" s="134"/>
      <c r="BD7" s="134"/>
      <c r="BE7" s="134"/>
    </row>
    <row r="8" s="1" customFormat="1" ht="24" customHeight="1" spans="1:57">
      <c r="A8" s="18" t="str">
        <f>IF(D8="","",A7+1)</f>
        <v/>
      </c>
      <c r="B8" s="19" t="str">
        <f t="shared" si="0"/>
        <v/>
      </c>
      <c r="C8" s="20" t="str">
        <f t="shared" ref="C8" si="10">IF(D8="","","～")</f>
        <v/>
      </c>
      <c r="D8" s="21" t="str">
        <f t="shared" si="1"/>
        <v/>
      </c>
      <c r="E8" s="22" t="str">
        <f>IF(G8="","","I型浆砌石边沟")</f>
        <v/>
      </c>
      <c r="F8" s="23" t="str">
        <f t="shared" si="2"/>
        <v/>
      </c>
      <c r="G8" s="24" t="str">
        <f t="shared" si="3"/>
        <v/>
      </c>
      <c r="H8" s="24" t="str">
        <f t="shared" ref="H8:H27" si="11">IF(U8="","",TEXT(X8,"0.0")&amp;AO8&amp;TEXT(Y8,"0.0"))</f>
        <v/>
      </c>
      <c r="I8" s="49" t="str">
        <f t="shared" ref="I8:I27" si="12">IF(G8="","","与路基同坡")</f>
        <v/>
      </c>
      <c r="J8" s="49" t="str">
        <f t="shared" si="5"/>
        <v/>
      </c>
      <c r="K8" s="49" t="str">
        <f t="shared" si="6"/>
        <v/>
      </c>
      <c r="L8" s="49" t="str">
        <f>IF(OR(G8="",F8=""),"",AH8*($G8-S8)+S8*AJ8)</f>
        <v/>
      </c>
      <c r="M8" s="24" t="str">
        <f t="shared" si="7"/>
        <v/>
      </c>
      <c r="N8" s="49" t="str">
        <f>IF(OR(G8="",F8=""),"",AF8*$G8)</f>
        <v/>
      </c>
      <c r="O8" s="50" t="str">
        <f t="shared" si="8"/>
        <v/>
      </c>
      <c r="P8" s="51"/>
      <c r="Q8" s="75"/>
      <c r="R8" s="82"/>
      <c r="S8" s="83"/>
      <c r="T8" s="84"/>
      <c r="U8" s="85"/>
      <c r="V8" s="86"/>
      <c r="W8" s="87"/>
      <c r="X8" s="84"/>
      <c r="Y8" s="84"/>
      <c r="Z8" s="115"/>
      <c r="AA8" s="113" t="str">
        <f>IF(Y8=0,"",IF(Y8&lt;=0.4,0.3,IF(Y8&lt;=0.7,0.4,IF(Y8&lt;0.9,0.45,IF(Y8&lt;=1,0.5,IF(Y8&gt;1,ROUND(FORECAST(Y8,{0.5,1.3},{1,3}),2),""))))))</f>
        <v/>
      </c>
      <c r="AB8" s="114" t="str">
        <f>IF(Z8=0,"",IF(Z8&lt;=0.4,0.3,IF(Z8&lt;=0.7,0.4,IF(Z8&lt;0.9,0.45,IF(Z8&lt;=1,0.5,IF(Z8&gt;1,ROUND(FORECAST(Z8,{0.5,1.3},{1,3}),2),""))))))</f>
        <v/>
      </c>
      <c r="AC8" s="24"/>
      <c r="AD8" s="114"/>
      <c r="AE8" s="21"/>
      <c r="AF8" s="24"/>
      <c r="AG8" s="24" t="str">
        <f t="shared" ref="AG8:AG9" si="13">IF(OR(X8="",Y8=""),"",IF(Z8="",AA8*2+X8,AA8+AB8+X8))</f>
        <v/>
      </c>
      <c r="AH8" s="24" t="str">
        <f t="shared" ref="AH8:AH9" si="14">IF(OR(X8="",Y8=""),"",IF(Z8="",2*Y8*AA8+(2*AA8+X8)*AC8,Y8*AA8+Z8*AB8+(AA8+X8+AB8)*AC8))</f>
        <v/>
      </c>
      <c r="AI8" s="24" t="str">
        <f t="shared" ref="AI8:AI9" si="15">IF(OR(X8="",Y8=""),"",IF(Z8="",(Y8*2+0.3+X8)*0.15,(Y8+Z8+0.3+X8)*0.15))</f>
        <v/>
      </c>
      <c r="AJ8" s="24" t="str">
        <f t="shared" ref="AJ8:AJ9" si="16">IF(OR(X8="",Y8=""),"",2*Y8*AA8+(2*AA8+X8)*AC8+AM8)</f>
        <v/>
      </c>
      <c r="AK8" s="24" t="str">
        <f t="shared" ref="AK8:AK9" si="17">IF(OR(X8="",Y8=""),"",IF(X8=0.4,$AT$7,IF(X8=0.5,$AT$8,IF(X8=0.6,$AT$9,IF(X8=0.7,$AT$10,IF(X8=0.8,$AT$11,IF(X8=1,$AT$12,"请自己绘制盖板")))))))</f>
        <v/>
      </c>
      <c r="AL8" s="24" t="str">
        <f t="shared" ref="AL8:AL9" si="18">IF(OR(X8="",Y8=""),"",IF(X8=0.4,$AU$7,IF(X8=0.5,$AU$8,IF(X8=0.6,$AU$9,IF(X8=0.7,$AU$10,IF(X8=0.8,$AU$11,IF(X8=1,$AU$12,"请自己绘制盖板")))))))</f>
        <v/>
      </c>
      <c r="AM8" s="24" t="str">
        <f t="shared" ref="AM8:AM27" si="19">IF(OR(X8="",Y8=""),"",IF(X8=0.4,2*(0.1*AA8-0.13*0.1),IF(X8=0.5,2*(0.1*AA8-0.2*0.11),IF(X8=0.6,2*(0.1*AA8-0.2*0.12),IF(X8=0.7,2*(0.1*AA8-0.2*0.13),IF(X8=0.8,2*(0.1*AA8-0.2*0.14),IF(X8=1,2*(0.1*AA8-0.2*0.16),"请自己绘制盖板")))))))</f>
        <v/>
      </c>
      <c r="AN8" s="127"/>
      <c r="AO8" s="140" t="str">
        <f t="shared" ref="AO8:AO27" si="20">IF(X8="","","×")</f>
        <v/>
      </c>
      <c r="AP8" s="141" t="str">
        <f t="shared" ref="AP8:AP27" si="21">IF(U8="","",IF(ISNUMBER(U8),"",MID(U8,1,1)))</f>
        <v/>
      </c>
      <c r="AQ8" s="142" t="str">
        <f t="shared" ref="AQ8:AQ27" si="22">IF(U8="","",IF(ISNUMBER(U8),MID(U8,1,4),MID(U8,2,4)))</f>
        <v/>
      </c>
      <c r="AR8" s="143">
        <v>0.5</v>
      </c>
      <c r="AS8" s="144" t="s">
        <v>54</v>
      </c>
      <c r="AT8" s="145">
        <v>0.097</v>
      </c>
      <c r="AU8" s="145">
        <v>10.762</v>
      </c>
      <c r="AV8" s="146"/>
      <c r="AW8" s="134"/>
      <c r="AX8" s="134"/>
      <c r="AY8" s="134"/>
      <c r="AZ8" s="134"/>
      <c r="BA8" s="134"/>
      <c r="BB8" s="134"/>
      <c r="BC8" s="134"/>
      <c r="BD8" s="134"/>
      <c r="BE8" s="134"/>
    </row>
    <row r="9" s="1" customFormat="1" ht="24" customHeight="1" spans="1:57">
      <c r="A9" s="18" t="str">
        <f t="shared" ref="A9:A27" si="23">IF(D9="","",A8+1)</f>
        <v/>
      </c>
      <c r="B9" s="19" t="str">
        <f t="shared" ref="B9:B27" si="24">IF(U9="","",AP9&amp;TEXT(AQ9,"K0+000.00"))</f>
        <v/>
      </c>
      <c r="C9" s="20" t="str">
        <f t="shared" ref="C9:C27" si="25">IF(D9="","","～")</f>
        <v/>
      </c>
      <c r="D9" s="21" t="str">
        <f t="shared" ref="D9:D27" si="26">IF(V9="","",AP9&amp;TEXT(V9,"K0+000.00"))</f>
        <v/>
      </c>
      <c r="E9" s="22" t="str">
        <f>IF(G9="","","II型浆砌石边沟")</f>
        <v/>
      </c>
      <c r="F9" s="23" t="str">
        <f t="shared" si="2"/>
        <v/>
      </c>
      <c r="G9" s="24" t="str">
        <f t="shared" si="3"/>
        <v/>
      </c>
      <c r="H9" s="24" t="str">
        <f t="shared" si="11"/>
        <v/>
      </c>
      <c r="I9" s="49" t="str">
        <f t="shared" si="12"/>
        <v/>
      </c>
      <c r="J9" s="49" t="str">
        <f t="shared" si="5"/>
        <v/>
      </c>
      <c r="K9" s="49" t="str">
        <f t="shared" si="6"/>
        <v/>
      </c>
      <c r="L9" s="49"/>
      <c r="M9" s="24"/>
      <c r="N9" s="49"/>
      <c r="O9" s="50" t="str">
        <f t="shared" si="8"/>
        <v/>
      </c>
      <c r="P9" s="51"/>
      <c r="Q9" s="75"/>
      <c r="R9" s="82"/>
      <c r="S9" s="83"/>
      <c r="T9" s="84"/>
      <c r="U9" s="85"/>
      <c r="V9" s="86"/>
      <c r="W9" s="87"/>
      <c r="X9" s="84"/>
      <c r="Y9" s="84"/>
      <c r="Z9" s="115"/>
      <c r="AA9" s="113" t="str">
        <f>IF(Y9=0,"",IF(Y9&lt;=0.4,0.3,IF(Y9&lt;=0.7,0.4,IF(Y9&lt;0.9,0.45,IF(Y9&lt;=1,0.5,IF(Y9&gt;1,ROUND(FORECAST(Y9,{0.5,1.3},{1,3}),2),""))))))</f>
        <v/>
      </c>
      <c r="AB9" s="114" t="str">
        <f>IF(Z9=0,"",IF(Z9&lt;=0.4,0.3,IF(Z9&lt;=0.7,0.4,IF(Z9&lt;0.9,0.45,IF(Z9&lt;=1,0.5,IF(Z9&gt;1,ROUND(FORECAST(Z9,{0.5,1.3},{1,3}),2),""))))))</f>
        <v/>
      </c>
      <c r="AC9" s="24" t="str">
        <f t="shared" ref="AC9" si="27">IF(OR(X9="",Y9=""),"",IF(OR(Z9="",Z9&gt;Y9),AA9,AB9))</f>
        <v/>
      </c>
      <c r="AD9" s="114" t="str">
        <f t="shared" ref="AD8:AD9" si="28">IF(OR(X9="",Y9=""),"",$AD$4)</f>
        <v/>
      </c>
      <c r="AE9" s="21" t="str">
        <f t="shared" ref="AE8:AE9" si="29">IF(OR(X9="",Y9=""),"",IF(Z9="",(AA9*2+X9)*AD9,(AA9+AB9+X9)*AD9))</f>
        <v/>
      </c>
      <c r="AF9" s="24" t="str">
        <f t="shared" ref="AF9" si="30">IF(OR(X9="",Y9=""),"",IF(Z9="",(AA9*2+X9)*(Y9+AC9+AD9),(AA9+AB9+X9)*(Y9+Z9+2*AC9+2*AD9)/2))</f>
        <v/>
      </c>
      <c r="AG9" s="24" t="str">
        <f t="shared" si="13"/>
        <v/>
      </c>
      <c r="AH9" s="24" t="str">
        <f t="shared" si="14"/>
        <v/>
      </c>
      <c r="AI9" s="24" t="str">
        <f t="shared" si="15"/>
        <v/>
      </c>
      <c r="AJ9" s="24" t="str">
        <f t="shared" si="16"/>
        <v/>
      </c>
      <c r="AK9" s="24" t="str">
        <f t="shared" si="17"/>
        <v/>
      </c>
      <c r="AL9" s="24" t="str">
        <f t="shared" si="18"/>
        <v/>
      </c>
      <c r="AM9" s="24" t="str">
        <f t="shared" si="19"/>
        <v/>
      </c>
      <c r="AN9" s="127"/>
      <c r="AO9" s="140" t="str">
        <f t="shared" si="20"/>
        <v/>
      </c>
      <c r="AP9" s="141" t="str">
        <f t="shared" si="21"/>
        <v/>
      </c>
      <c r="AQ9" s="142" t="str">
        <f t="shared" si="22"/>
        <v/>
      </c>
      <c r="AR9" s="143">
        <v>0.6</v>
      </c>
      <c r="AS9" s="144" t="s">
        <v>55</v>
      </c>
      <c r="AT9" s="145">
        <v>0.118</v>
      </c>
      <c r="AU9" s="145">
        <v>11.65</v>
      </c>
      <c r="AV9" s="146"/>
      <c r="AW9" s="134"/>
      <c r="AX9" s="134"/>
      <c r="AY9" s="134"/>
      <c r="AZ9" s="134"/>
      <c r="BA9" s="134"/>
      <c r="BB9" s="134"/>
      <c r="BC9" s="134"/>
      <c r="BD9" s="134"/>
      <c r="BE9" s="134"/>
    </row>
    <row r="10" s="1" customFormat="1" ht="24" customHeight="1" spans="1:57">
      <c r="A10" s="18" t="str">
        <f t="shared" si="23"/>
        <v/>
      </c>
      <c r="B10" s="19" t="str">
        <f t="shared" si="24"/>
        <v/>
      </c>
      <c r="C10" s="20" t="str">
        <f t="shared" si="25"/>
        <v/>
      </c>
      <c r="D10" s="21" t="str">
        <f t="shared" si="26"/>
        <v/>
      </c>
      <c r="E10" s="22" t="str">
        <f>IF(G10="","","I型浆砌石边沟")</f>
        <v/>
      </c>
      <c r="F10" s="23" t="str">
        <f t="shared" si="2"/>
        <v/>
      </c>
      <c r="G10" s="24" t="str">
        <f t="shared" si="3"/>
        <v/>
      </c>
      <c r="H10" s="24" t="str">
        <f t="shared" si="11"/>
        <v/>
      </c>
      <c r="I10" s="49" t="str">
        <f t="shared" si="12"/>
        <v/>
      </c>
      <c r="J10" s="49" t="str">
        <f t="shared" si="5"/>
        <v/>
      </c>
      <c r="K10" s="49" t="str">
        <f t="shared" si="6"/>
        <v/>
      </c>
      <c r="L10" s="49"/>
      <c r="M10" s="24"/>
      <c r="N10" s="49"/>
      <c r="O10" s="50" t="str">
        <f t="shared" si="8"/>
        <v/>
      </c>
      <c r="P10" s="51"/>
      <c r="Q10" s="75"/>
      <c r="R10" s="82"/>
      <c r="S10" s="83"/>
      <c r="T10" s="84"/>
      <c r="U10" s="85"/>
      <c r="V10" s="86"/>
      <c r="W10" s="87"/>
      <c r="X10" s="84"/>
      <c r="Y10" s="84"/>
      <c r="Z10" s="115"/>
      <c r="AA10" s="113" t="str">
        <f>IF(Y10=0,"",IF(Y10&lt;=0.4,0.3,IF(Y10&lt;=0.7,0.4,IF(Y10&lt;0.9,0.45,IF(Y10&lt;=1,0.5,IF(Y10&gt;1,ROUND(FORECAST(Y10,{0.5,1.3},{1,3}),2),""))))))</f>
        <v/>
      </c>
      <c r="AB10" s="114" t="str">
        <f>IF(Z10=0,"",IF(Z10&lt;=0.4,0.3,IF(Z10&lt;=0.7,0.4,IF(Z10&lt;0.9,0.45,IF(Z10&lt;=1,0.5,IF(Z10&gt;1,ROUND(FORECAST(Z10,{0.5,1.3},{1,3}),2),""))))))</f>
        <v/>
      </c>
      <c r="AC10" s="24" t="str">
        <f t="shared" ref="AC10:AC27" si="31">IF(OR(X10="",Y10=""),"",IF(OR(Z10="",Z10&gt;Y10),AA10,AB10))</f>
        <v/>
      </c>
      <c r="AD10" s="114" t="str">
        <f t="shared" ref="AD10:AD27" si="32">IF(OR(X10="",Y10=""),"",$AD$4)</f>
        <v/>
      </c>
      <c r="AE10" s="21" t="str">
        <f t="shared" ref="AE10:AE27" si="33">IF(OR(X10="",Y10=""),"",IF(Z10="",(AA10*2+X10)*AD10,(AA10+AB10+X10)*AD10))</f>
        <v/>
      </c>
      <c r="AF10" s="24" t="str">
        <f t="shared" ref="AF10:AF27" si="34">IF(OR(X10="",Y10=""),"",IF(Z10="",(AA10*2+X10)*(Y10+AC10+AD10),(AA10+AB10+X10)*(Y10+Z10+2*AC10+2*AD10)/2))</f>
        <v/>
      </c>
      <c r="AG10" s="24" t="str">
        <f t="shared" ref="AG10:AG27" si="35">IF(OR(X10="",Y10=""),"",IF(Z10="",AA10*2+X10,AA10+AB10+X10))</f>
        <v/>
      </c>
      <c r="AH10" s="24" t="str">
        <f t="shared" ref="AH10:AH27" si="36">IF(OR(X10="",Y10=""),"",IF(Z10="",2*Y10*AA10+(2*AA10+X10)*AC10,Y10*AA10+Z10*AB10+(AA10+X10+AB10)*AC10))</f>
        <v/>
      </c>
      <c r="AI10" s="24" t="str">
        <f t="shared" ref="AI10:AI27" si="37">IF(OR(X10="",Y10=""),"",IF(Z10="",(Y10*2+0.3+X10)*0.15,(Y10+Z10+0.3+X10)*0.15))</f>
        <v/>
      </c>
      <c r="AJ10" s="24" t="str">
        <f t="shared" ref="AJ10:AJ27" si="38">IF(OR(X10="",Y10=""),"",2*Y10*AA10+(2*AA10+X10)*AC10+AM10)</f>
        <v/>
      </c>
      <c r="AK10" s="24" t="str">
        <f t="shared" ref="AK10:AK27" si="39">IF(OR(X10="",Y10=""),"",IF(X10=0.4,$AT$7,IF(X10=0.5,$AT$8,IF(X10=0.6,$AT$9,IF(X10=0.7,$AT$10,IF(X10=0.8,$AT$11,IF(X10=1,$AT$12,"请自己绘制盖板")))))))</f>
        <v/>
      </c>
      <c r="AL10" s="24" t="str">
        <f t="shared" ref="AL10:AL27" si="40">IF(OR(X10="",Y10=""),"",IF(X10=0.4,$AU$7,IF(X10=0.5,$AU$8,IF(X10=0.6,$AU$9,IF(X10=0.7,$AU$10,IF(X10=0.8,$AU$11,IF(X10=1,$AU$12,"请自己绘制盖板")))))))</f>
        <v/>
      </c>
      <c r="AM10" s="24" t="str">
        <f t="shared" si="19"/>
        <v/>
      </c>
      <c r="AN10" s="127"/>
      <c r="AO10" s="140" t="str">
        <f t="shared" si="20"/>
        <v/>
      </c>
      <c r="AP10" s="141" t="str">
        <f t="shared" si="21"/>
        <v/>
      </c>
      <c r="AQ10" s="142" t="str">
        <f t="shared" si="22"/>
        <v/>
      </c>
      <c r="AR10" s="143">
        <v>0.7</v>
      </c>
      <c r="AS10" s="144" t="s">
        <v>56</v>
      </c>
      <c r="AT10" s="145">
        <v>0.141</v>
      </c>
      <c r="AU10" s="145">
        <v>13.118</v>
      </c>
      <c r="AV10" s="146"/>
      <c r="AW10" s="134"/>
      <c r="AX10" s="134"/>
      <c r="AY10" s="134"/>
      <c r="AZ10" s="134"/>
      <c r="BA10" s="134"/>
      <c r="BB10" s="134"/>
      <c r="BC10" s="134"/>
      <c r="BD10" s="134"/>
      <c r="BE10" s="134"/>
    </row>
    <row r="11" s="1" customFormat="1" ht="24" customHeight="1" spans="1:57">
      <c r="A11" s="18" t="str">
        <f t="shared" si="23"/>
        <v/>
      </c>
      <c r="B11" s="19" t="str">
        <f t="shared" si="24"/>
        <v/>
      </c>
      <c r="C11" s="25" t="str">
        <f t="shared" si="25"/>
        <v/>
      </c>
      <c r="D11" s="21" t="str">
        <f t="shared" si="26"/>
        <v/>
      </c>
      <c r="E11" s="22" t="str">
        <f>IF(G11="","","III型浆砌石边沟")</f>
        <v/>
      </c>
      <c r="F11" s="23" t="str">
        <f t="shared" si="2"/>
        <v/>
      </c>
      <c r="G11" s="24" t="str">
        <f t="shared" si="3"/>
        <v/>
      </c>
      <c r="H11" s="24" t="str">
        <f t="shared" si="11"/>
        <v/>
      </c>
      <c r="I11" s="49" t="str">
        <f t="shared" si="12"/>
        <v/>
      </c>
      <c r="J11" s="49" t="str">
        <f t="shared" si="5"/>
        <v/>
      </c>
      <c r="K11" s="49" t="str">
        <f t="shared" si="6"/>
        <v/>
      </c>
      <c r="L11" s="49"/>
      <c r="M11" s="24"/>
      <c r="N11" s="49"/>
      <c r="O11" s="50" t="str">
        <f t="shared" si="8"/>
        <v/>
      </c>
      <c r="P11" s="51"/>
      <c r="Q11" s="75"/>
      <c r="R11" s="82"/>
      <c r="S11" s="83"/>
      <c r="T11" s="84"/>
      <c r="U11" s="85"/>
      <c r="V11" s="86"/>
      <c r="W11" s="87"/>
      <c r="X11" s="84"/>
      <c r="Y11" s="84"/>
      <c r="Z11" s="115"/>
      <c r="AA11" s="113" t="str">
        <f>IF(Y11=0,"",IF(Y11&lt;=0.4,0.3,IF(Y11&lt;=0.7,0.4,IF(Y11&lt;0.9,0.45,IF(Y11&lt;=1,0.5,IF(Y11&gt;1,ROUND(FORECAST(Y11,{0.5,1.3},{1,3}),2),""))))))</f>
        <v/>
      </c>
      <c r="AB11" s="114" t="str">
        <f>IF(Z11=0,"",IF(Z11&lt;=0.4,0.3,IF(Z11&lt;=0.7,0.4,IF(Z11&lt;0.9,0.45,IF(Z11&lt;=1,0.5,IF(Z11&gt;1,ROUND(FORECAST(Z11,{0.5,1.3},{1,3}),2),""))))))</f>
        <v/>
      </c>
      <c r="AC11" s="24" t="str">
        <f t="shared" si="31"/>
        <v/>
      </c>
      <c r="AD11" s="114" t="str">
        <f t="shared" si="32"/>
        <v/>
      </c>
      <c r="AE11" s="21" t="str">
        <f t="shared" si="33"/>
        <v/>
      </c>
      <c r="AF11" s="24" t="str">
        <f t="shared" si="34"/>
        <v/>
      </c>
      <c r="AG11" s="24" t="str">
        <f t="shared" si="35"/>
        <v/>
      </c>
      <c r="AH11" s="24" t="str">
        <f t="shared" si="36"/>
        <v/>
      </c>
      <c r="AI11" s="24" t="str">
        <f t="shared" si="37"/>
        <v/>
      </c>
      <c r="AJ11" s="24" t="str">
        <f t="shared" si="38"/>
        <v/>
      </c>
      <c r="AK11" s="24" t="str">
        <f t="shared" si="39"/>
        <v/>
      </c>
      <c r="AL11" s="24" t="str">
        <f t="shared" si="40"/>
        <v/>
      </c>
      <c r="AM11" s="24" t="str">
        <f t="shared" si="19"/>
        <v/>
      </c>
      <c r="AN11" s="127"/>
      <c r="AO11" s="140" t="str">
        <f t="shared" si="20"/>
        <v/>
      </c>
      <c r="AP11" s="141" t="str">
        <f t="shared" si="21"/>
        <v/>
      </c>
      <c r="AQ11" s="142" t="str">
        <f t="shared" si="22"/>
        <v/>
      </c>
      <c r="AR11" s="143">
        <v>0.8</v>
      </c>
      <c r="AS11" s="144" t="s">
        <v>57</v>
      </c>
      <c r="AT11" s="145">
        <v>0.166</v>
      </c>
      <c r="AU11" s="145">
        <v>14.006</v>
      </c>
      <c r="AV11" s="146"/>
      <c r="AW11" s="134"/>
      <c r="AX11" s="134"/>
      <c r="AY11" s="134"/>
      <c r="AZ11" s="134"/>
      <c r="BA11" s="134"/>
      <c r="BB11" s="134"/>
      <c r="BC11" s="134"/>
      <c r="BD11" s="134"/>
      <c r="BE11" s="134"/>
    </row>
    <row r="12" s="2" customFormat="1" ht="24" customHeight="1" spans="1:57">
      <c r="A12" s="18" t="str">
        <f t="shared" si="23"/>
        <v/>
      </c>
      <c r="B12" s="19" t="str">
        <f t="shared" si="24"/>
        <v/>
      </c>
      <c r="C12" s="25" t="str">
        <f t="shared" si="25"/>
        <v/>
      </c>
      <c r="D12" s="21" t="str">
        <f t="shared" si="26"/>
        <v/>
      </c>
      <c r="E12" s="22" t="str">
        <f t="shared" ref="E12:E17" si="41">IF(G12="","","I型浆砌石边沟")</f>
        <v/>
      </c>
      <c r="F12" s="23" t="str">
        <f t="shared" si="2"/>
        <v/>
      </c>
      <c r="G12" s="24" t="str">
        <f t="shared" si="3"/>
        <v/>
      </c>
      <c r="H12" s="24" t="str">
        <f t="shared" si="11"/>
        <v/>
      </c>
      <c r="I12" s="49" t="str">
        <f t="shared" si="12"/>
        <v/>
      </c>
      <c r="J12" s="49" t="str">
        <f t="shared" si="5"/>
        <v/>
      </c>
      <c r="K12" s="49" t="str">
        <f t="shared" si="6"/>
        <v/>
      </c>
      <c r="L12" s="49"/>
      <c r="M12" s="24"/>
      <c r="N12" s="49"/>
      <c r="O12" s="50" t="str">
        <f t="shared" si="8"/>
        <v/>
      </c>
      <c r="P12" s="51"/>
      <c r="Q12" s="75"/>
      <c r="R12" s="88"/>
      <c r="S12" s="89"/>
      <c r="T12" s="90"/>
      <c r="U12" s="91"/>
      <c r="V12" s="92"/>
      <c r="W12" s="93"/>
      <c r="X12" s="90"/>
      <c r="Y12" s="90"/>
      <c r="Z12" s="116"/>
      <c r="AA12" s="117" t="str">
        <f>IF(Y12=0,"",IF(Y12&lt;=0.4,0.3,IF(Y12&lt;=0.7,0.4,IF(Y12&lt;0.9,0.45,IF(Y12&lt;=1,0.5,IF(Y12&gt;1,ROUND(FORECAST(Y12,{0.5,1.3},{1,3}),2),""))))))</f>
        <v/>
      </c>
      <c r="AB12" s="118" t="str">
        <f>IF(Z12=0,"",IF(Z12&lt;=0.4,0.3,IF(Z12&lt;=0.7,0.4,IF(Z12&lt;0.9,0.45,IF(Z12&lt;=1,0.5,IF(Z12&gt;1,ROUND(FORECAST(Z12,{0.5,1.3},{1,3}),2),""))))))</f>
        <v/>
      </c>
      <c r="AC12" s="119" t="str">
        <f t="shared" si="31"/>
        <v/>
      </c>
      <c r="AD12" s="118" t="str">
        <f t="shared" si="32"/>
        <v/>
      </c>
      <c r="AE12" s="120" t="str">
        <f t="shared" si="33"/>
        <v/>
      </c>
      <c r="AF12" s="119" t="str">
        <f t="shared" si="34"/>
        <v/>
      </c>
      <c r="AG12" s="119" t="str">
        <f t="shared" si="35"/>
        <v/>
      </c>
      <c r="AH12" s="119" t="str">
        <f t="shared" si="36"/>
        <v/>
      </c>
      <c r="AI12" s="119" t="str">
        <f t="shared" si="37"/>
        <v/>
      </c>
      <c r="AJ12" s="119" t="str">
        <f t="shared" si="38"/>
        <v/>
      </c>
      <c r="AK12" s="119" t="str">
        <f t="shared" si="39"/>
        <v/>
      </c>
      <c r="AL12" s="119" t="str">
        <f t="shared" si="40"/>
        <v/>
      </c>
      <c r="AM12" s="119" t="str">
        <f t="shared" si="19"/>
        <v/>
      </c>
      <c r="AN12" s="128"/>
      <c r="AO12" s="147" t="str">
        <f t="shared" si="20"/>
        <v/>
      </c>
      <c r="AP12" s="148" t="str">
        <f t="shared" si="21"/>
        <v/>
      </c>
      <c r="AQ12" s="149" t="str">
        <f t="shared" si="22"/>
        <v/>
      </c>
      <c r="AR12" s="150">
        <v>1</v>
      </c>
      <c r="AS12" s="151" t="s">
        <v>58</v>
      </c>
      <c r="AT12" s="152">
        <v>0.221</v>
      </c>
      <c r="AU12" s="152">
        <v>16.942</v>
      </c>
      <c r="AV12" s="153"/>
      <c r="AW12" s="159"/>
      <c r="AX12" s="159"/>
      <c r="AY12" s="159"/>
      <c r="AZ12" s="159"/>
      <c r="BA12" s="159"/>
      <c r="BB12" s="159"/>
      <c r="BC12" s="159"/>
      <c r="BD12" s="159"/>
      <c r="BE12" s="159"/>
    </row>
    <row r="13" s="1" customFormat="1" ht="24" customHeight="1" spans="1:57">
      <c r="A13" s="18" t="str">
        <f t="shared" si="23"/>
        <v/>
      </c>
      <c r="B13" s="19" t="str">
        <f t="shared" si="24"/>
        <v/>
      </c>
      <c r="C13" s="20" t="str">
        <f t="shared" si="25"/>
        <v/>
      </c>
      <c r="D13" s="21" t="str">
        <f t="shared" si="26"/>
        <v/>
      </c>
      <c r="E13" s="22" t="str">
        <f t="shared" si="41"/>
        <v/>
      </c>
      <c r="F13" s="23" t="str">
        <f t="shared" si="2"/>
        <v/>
      </c>
      <c r="G13" s="24" t="str">
        <f t="shared" si="3"/>
        <v/>
      </c>
      <c r="H13" s="24" t="str">
        <f t="shared" si="11"/>
        <v/>
      </c>
      <c r="I13" s="49" t="str">
        <f t="shared" si="12"/>
        <v/>
      </c>
      <c r="J13" s="49" t="str">
        <f t="shared" si="5"/>
        <v/>
      </c>
      <c r="K13" s="49" t="str">
        <f t="shared" si="6"/>
        <v/>
      </c>
      <c r="L13" s="49" t="str">
        <f t="shared" ref="L12:L27" si="42">IF(OR(G13="",F13=""),"",AH13*($G13-S13)+S13*AJ13)</f>
        <v/>
      </c>
      <c r="M13" s="24" t="str">
        <f t="shared" si="7"/>
        <v/>
      </c>
      <c r="N13" s="49" t="str">
        <f t="shared" ref="N12:N27" si="43">IF(OR(G13="",F13=""),"",AF13*$G13)</f>
        <v/>
      </c>
      <c r="O13" s="50" t="str">
        <f t="shared" si="8"/>
        <v/>
      </c>
      <c r="P13" s="51"/>
      <c r="Q13" s="75"/>
      <c r="R13" s="82"/>
      <c r="S13" s="83"/>
      <c r="T13" s="84"/>
      <c r="U13" s="85"/>
      <c r="V13" s="86"/>
      <c r="W13" s="87"/>
      <c r="X13" s="84"/>
      <c r="Y13" s="84"/>
      <c r="Z13" s="115"/>
      <c r="AA13" s="113" t="str">
        <f>IF(Y13=0,"",IF(Y13&lt;=0.4,0.3,IF(Y13&lt;=0.7,0.4,IF(Y13&lt;0.9,0.45,IF(Y13&lt;=1,0.5,IF(Y13&gt;1,ROUND(FORECAST(Y13,{0.5,1.3},{1,3}),2),""))))))</f>
        <v/>
      </c>
      <c r="AB13" s="114" t="str">
        <f>IF(Z13=0,"",IF(Z13&lt;=0.4,0.3,IF(Z13&lt;=0.7,0.4,IF(Z13&lt;0.9,0.45,IF(Z13&lt;=1,0.5,IF(Z13&gt;1,ROUND(FORECAST(Z13,{0.5,1.3},{1,3}),2),""))))))</f>
        <v/>
      </c>
      <c r="AC13" s="24" t="str">
        <f t="shared" si="31"/>
        <v/>
      </c>
      <c r="AD13" s="114" t="str">
        <f t="shared" si="32"/>
        <v/>
      </c>
      <c r="AE13" s="21" t="str">
        <f t="shared" si="33"/>
        <v/>
      </c>
      <c r="AF13" s="24" t="str">
        <f t="shared" si="34"/>
        <v/>
      </c>
      <c r="AG13" s="24" t="str">
        <f t="shared" si="35"/>
        <v/>
      </c>
      <c r="AH13" s="24" t="str">
        <f t="shared" si="36"/>
        <v/>
      </c>
      <c r="AI13" s="24" t="str">
        <f t="shared" si="37"/>
        <v/>
      </c>
      <c r="AJ13" s="24" t="str">
        <f t="shared" si="38"/>
        <v/>
      </c>
      <c r="AK13" s="24" t="str">
        <f t="shared" si="39"/>
        <v/>
      </c>
      <c r="AL13" s="24" t="str">
        <f t="shared" si="40"/>
        <v/>
      </c>
      <c r="AM13" s="24" t="str">
        <f t="shared" si="19"/>
        <v/>
      </c>
      <c r="AN13" s="127"/>
      <c r="AO13" s="140" t="str">
        <f t="shared" si="20"/>
        <v/>
      </c>
      <c r="AP13" s="141" t="str">
        <f t="shared" si="21"/>
        <v/>
      </c>
      <c r="AQ13" s="142" t="str">
        <f t="shared" si="22"/>
        <v/>
      </c>
      <c r="AR13" s="143"/>
      <c r="AS13" s="144"/>
      <c r="AT13" s="145"/>
      <c r="AU13" s="145"/>
      <c r="AV13" s="146"/>
      <c r="AW13" s="134"/>
      <c r="AX13" s="160"/>
      <c r="AY13" s="134"/>
      <c r="AZ13" s="134"/>
      <c r="BA13" s="134"/>
      <c r="BB13" s="134"/>
      <c r="BC13" s="134"/>
      <c r="BD13" s="134"/>
      <c r="BE13" s="134"/>
    </row>
    <row r="14" s="1" customFormat="1" ht="24" customHeight="1" spans="1:57">
      <c r="A14" s="18" t="str">
        <f t="shared" si="23"/>
        <v/>
      </c>
      <c r="B14" s="19" t="str">
        <f t="shared" si="24"/>
        <v/>
      </c>
      <c r="C14" s="20" t="str">
        <f t="shared" si="25"/>
        <v/>
      </c>
      <c r="D14" s="21" t="str">
        <f t="shared" si="26"/>
        <v/>
      </c>
      <c r="E14" s="22" t="str">
        <f t="shared" si="41"/>
        <v/>
      </c>
      <c r="F14" s="23" t="str">
        <f t="shared" si="2"/>
        <v/>
      </c>
      <c r="G14" s="24" t="str">
        <f t="shared" si="3"/>
        <v/>
      </c>
      <c r="H14" s="24" t="str">
        <f t="shared" si="11"/>
        <v/>
      </c>
      <c r="I14" s="49" t="str">
        <f t="shared" si="12"/>
        <v/>
      </c>
      <c r="J14" s="49" t="str">
        <f t="shared" si="5"/>
        <v/>
      </c>
      <c r="K14" s="49" t="str">
        <f t="shared" si="6"/>
        <v/>
      </c>
      <c r="L14" s="49" t="str">
        <f t="shared" si="42"/>
        <v/>
      </c>
      <c r="M14" s="24" t="str">
        <f t="shared" si="7"/>
        <v/>
      </c>
      <c r="N14" s="49" t="str">
        <f t="shared" si="43"/>
        <v/>
      </c>
      <c r="O14" s="50" t="str">
        <f t="shared" si="8"/>
        <v/>
      </c>
      <c r="P14" s="51"/>
      <c r="Q14" s="75"/>
      <c r="R14" s="82"/>
      <c r="S14" s="83"/>
      <c r="T14" s="84"/>
      <c r="U14" s="85"/>
      <c r="V14" s="86"/>
      <c r="W14" s="87"/>
      <c r="X14" s="84"/>
      <c r="Y14" s="84"/>
      <c r="Z14" s="115"/>
      <c r="AA14" s="113" t="str">
        <f>IF(Y14=0,"",IF(Y14&lt;=0.4,0.3,IF(Y14&lt;=0.7,0.4,IF(Y14&lt;0.9,0.45,IF(Y14&lt;=1,0.5,IF(Y14&gt;1,ROUND(FORECAST(Y14,{0.5,1.3},{1,3}),2),""))))))</f>
        <v/>
      </c>
      <c r="AB14" s="114" t="str">
        <f>IF(Z14=0,"",IF(Z14&lt;=0.4,0.3,IF(Z14&lt;=0.7,0.4,IF(Z14&lt;0.9,0.45,IF(Z14&lt;=1,0.5,IF(Z14&gt;1,ROUND(FORECAST(Z14,{0.5,1.3},{1,3}),2),""))))))</f>
        <v/>
      </c>
      <c r="AC14" s="24" t="str">
        <f t="shared" si="31"/>
        <v/>
      </c>
      <c r="AD14" s="114" t="str">
        <f t="shared" si="32"/>
        <v/>
      </c>
      <c r="AE14" s="21" t="str">
        <f t="shared" si="33"/>
        <v/>
      </c>
      <c r="AF14" s="24" t="str">
        <f t="shared" si="34"/>
        <v/>
      </c>
      <c r="AG14" s="24" t="str">
        <f t="shared" si="35"/>
        <v/>
      </c>
      <c r="AH14" s="24" t="str">
        <f t="shared" si="36"/>
        <v/>
      </c>
      <c r="AI14" s="24" t="str">
        <f t="shared" si="37"/>
        <v/>
      </c>
      <c r="AJ14" s="24" t="str">
        <f t="shared" si="38"/>
        <v/>
      </c>
      <c r="AK14" s="24" t="str">
        <f t="shared" si="39"/>
        <v/>
      </c>
      <c r="AL14" s="24" t="str">
        <f t="shared" si="40"/>
        <v/>
      </c>
      <c r="AM14" s="24" t="str">
        <f t="shared" si="19"/>
        <v/>
      </c>
      <c r="AN14" s="127"/>
      <c r="AO14" s="140" t="str">
        <f t="shared" si="20"/>
        <v/>
      </c>
      <c r="AP14" s="141" t="str">
        <f t="shared" si="21"/>
        <v/>
      </c>
      <c r="AQ14" s="142" t="str">
        <f t="shared" si="22"/>
        <v/>
      </c>
      <c r="AR14" s="143"/>
      <c r="AS14" s="154"/>
      <c r="AT14" s="155"/>
      <c r="AU14" s="155"/>
      <c r="AV14" s="146"/>
      <c r="AW14" s="134"/>
      <c r="AX14" s="134"/>
      <c r="AY14" s="134"/>
      <c r="AZ14" s="134"/>
      <c r="BA14" s="134"/>
      <c r="BB14" s="134"/>
      <c r="BC14" s="134"/>
      <c r="BD14" s="134"/>
      <c r="BE14" s="134"/>
    </row>
    <row r="15" s="1" customFormat="1" ht="24" customHeight="1" spans="1:57">
      <c r="A15" s="18" t="str">
        <f t="shared" si="23"/>
        <v/>
      </c>
      <c r="B15" s="19" t="str">
        <f t="shared" si="24"/>
        <v/>
      </c>
      <c r="C15" s="20" t="str">
        <f t="shared" si="25"/>
        <v/>
      </c>
      <c r="D15" s="21" t="str">
        <f t="shared" si="26"/>
        <v/>
      </c>
      <c r="E15" s="22" t="str">
        <f t="shared" si="41"/>
        <v/>
      </c>
      <c r="F15" s="23" t="str">
        <f t="shared" si="2"/>
        <v/>
      </c>
      <c r="G15" s="24" t="str">
        <f t="shared" si="3"/>
        <v/>
      </c>
      <c r="H15" s="24" t="str">
        <f t="shared" si="11"/>
        <v/>
      </c>
      <c r="I15" s="49" t="str">
        <f t="shared" si="12"/>
        <v/>
      </c>
      <c r="J15" s="49" t="str">
        <f t="shared" si="5"/>
        <v/>
      </c>
      <c r="K15" s="49" t="str">
        <f t="shared" si="6"/>
        <v/>
      </c>
      <c r="L15" s="49" t="str">
        <f t="shared" si="42"/>
        <v/>
      </c>
      <c r="M15" s="24" t="str">
        <f t="shared" si="7"/>
        <v/>
      </c>
      <c r="N15" s="49" t="str">
        <f t="shared" si="43"/>
        <v/>
      </c>
      <c r="O15" s="50" t="str">
        <f t="shared" si="8"/>
        <v/>
      </c>
      <c r="P15" s="51"/>
      <c r="Q15" s="75"/>
      <c r="R15" s="82"/>
      <c r="S15" s="83"/>
      <c r="T15" s="84"/>
      <c r="U15" s="85"/>
      <c r="V15" s="86"/>
      <c r="W15" s="87"/>
      <c r="X15" s="84"/>
      <c r="Y15" s="84"/>
      <c r="Z15" s="115"/>
      <c r="AA15" s="113" t="str">
        <f>IF(Y15=0,"",IF(Y15&lt;=0.4,0.3,IF(Y15&lt;=0.7,0.4,IF(Y15&lt;0.9,0.45,IF(Y15&lt;=1,0.5,IF(Y15&gt;1,ROUND(FORECAST(Y15,{0.5,1.3},{1,3}),2),""))))))</f>
        <v/>
      </c>
      <c r="AB15" s="114" t="str">
        <f>IF(Z15=0,"",IF(Z15&lt;=0.4,0.3,IF(Z15&lt;=0.7,0.4,IF(Z15&lt;0.9,0.45,IF(Z15&lt;=1,0.5,IF(Z15&gt;1,ROUND(FORECAST(Z15,{0.5,1.3},{1,3}),2),""))))))</f>
        <v/>
      </c>
      <c r="AC15" s="24" t="str">
        <f t="shared" si="31"/>
        <v/>
      </c>
      <c r="AD15" s="114" t="str">
        <f t="shared" si="32"/>
        <v/>
      </c>
      <c r="AE15" s="21" t="str">
        <f t="shared" si="33"/>
        <v/>
      </c>
      <c r="AF15" s="24" t="str">
        <f t="shared" si="34"/>
        <v/>
      </c>
      <c r="AG15" s="24" t="str">
        <f t="shared" si="35"/>
        <v/>
      </c>
      <c r="AH15" s="24" t="str">
        <f t="shared" si="36"/>
        <v/>
      </c>
      <c r="AI15" s="24" t="str">
        <f t="shared" si="37"/>
        <v/>
      </c>
      <c r="AJ15" s="24" t="str">
        <f t="shared" si="38"/>
        <v/>
      </c>
      <c r="AK15" s="24" t="str">
        <f t="shared" si="39"/>
        <v/>
      </c>
      <c r="AL15" s="24" t="str">
        <f t="shared" si="40"/>
        <v/>
      </c>
      <c r="AM15" s="24" t="str">
        <f t="shared" si="19"/>
        <v/>
      </c>
      <c r="AN15" s="127"/>
      <c r="AO15" s="140" t="str">
        <f t="shared" si="20"/>
        <v/>
      </c>
      <c r="AP15" s="141" t="str">
        <f t="shared" si="21"/>
        <v/>
      </c>
      <c r="AQ15" s="142" t="str">
        <f t="shared" si="22"/>
        <v/>
      </c>
      <c r="AR15" s="143"/>
      <c r="AS15" s="154"/>
      <c r="AT15" s="155"/>
      <c r="AU15" s="155"/>
      <c r="AV15" s="146"/>
      <c r="AW15" s="134"/>
      <c r="AX15" s="134"/>
      <c r="AY15" s="134"/>
      <c r="AZ15" s="134"/>
      <c r="BA15" s="134"/>
      <c r="BB15" s="134"/>
      <c r="BC15" s="134"/>
      <c r="BD15" s="134"/>
      <c r="BE15" s="134"/>
    </row>
    <row r="16" s="1" customFormat="1" ht="24" customHeight="1" spans="1:57">
      <c r="A16" s="18" t="str">
        <f t="shared" si="23"/>
        <v/>
      </c>
      <c r="B16" s="19" t="str">
        <f t="shared" si="24"/>
        <v/>
      </c>
      <c r="C16" s="20" t="str">
        <f t="shared" si="25"/>
        <v/>
      </c>
      <c r="D16" s="21" t="str">
        <f t="shared" si="26"/>
        <v/>
      </c>
      <c r="E16" s="22" t="str">
        <f t="shared" si="41"/>
        <v/>
      </c>
      <c r="F16" s="23" t="str">
        <f t="shared" si="2"/>
        <v/>
      </c>
      <c r="G16" s="24" t="str">
        <f t="shared" si="3"/>
        <v/>
      </c>
      <c r="H16" s="24" t="str">
        <f t="shared" si="11"/>
        <v/>
      </c>
      <c r="I16" s="49" t="str">
        <f t="shared" si="12"/>
        <v/>
      </c>
      <c r="J16" s="49" t="str">
        <f t="shared" si="5"/>
        <v/>
      </c>
      <c r="K16" s="49" t="str">
        <f t="shared" si="6"/>
        <v/>
      </c>
      <c r="L16" s="49" t="str">
        <f t="shared" si="42"/>
        <v/>
      </c>
      <c r="M16" s="24" t="str">
        <f t="shared" si="7"/>
        <v/>
      </c>
      <c r="N16" s="49" t="str">
        <f t="shared" si="43"/>
        <v/>
      </c>
      <c r="O16" s="50" t="str">
        <f t="shared" si="8"/>
        <v/>
      </c>
      <c r="P16" s="51"/>
      <c r="Q16" s="75"/>
      <c r="R16" s="82"/>
      <c r="S16" s="83"/>
      <c r="T16" s="84"/>
      <c r="U16" s="85"/>
      <c r="V16" s="86"/>
      <c r="W16" s="87"/>
      <c r="X16" s="84"/>
      <c r="Y16" s="84"/>
      <c r="Z16" s="115"/>
      <c r="AA16" s="113" t="str">
        <f>IF(Y16=0,"",IF(Y16&lt;=0.4,0.3,IF(Y16&lt;=0.7,0.4,IF(Y16&lt;0.9,0.45,IF(Y16&lt;=1,0.5,IF(Y16&gt;1,ROUND(FORECAST(Y16,{0.5,1.3},{1,3}),2),""))))))</f>
        <v/>
      </c>
      <c r="AB16" s="114" t="str">
        <f>IF(Z16=0,"",IF(Z16&lt;=0.4,0.3,IF(Z16&lt;=0.7,0.4,IF(Z16&lt;0.9,0.45,IF(Z16&lt;=1,0.5,IF(Z16&gt;1,ROUND(FORECAST(Z16,{0.5,1.3},{1,3}),2),""))))))</f>
        <v/>
      </c>
      <c r="AC16" s="24" t="str">
        <f t="shared" si="31"/>
        <v/>
      </c>
      <c r="AD16" s="114" t="str">
        <f t="shared" si="32"/>
        <v/>
      </c>
      <c r="AE16" s="21" t="str">
        <f t="shared" si="33"/>
        <v/>
      </c>
      <c r="AF16" s="24" t="str">
        <f t="shared" si="34"/>
        <v/>
      </c>
      <c r="AG16" s="24" t="str">
        <f t="shared" si="35"/>
        <v/>
      </c>
      <c r="AH16" s="24" t="str">
        <f t="shared" si="36"/>
        <v/>
      </c>
      <c r="AI16" s="24" t="str">
        <f t="shared" si="37"/>
        <v/>
      </c>
      <c r="AJ16" s="24" t="str">
        <f t="shared" si="38"/>
        <v/>
      </c>
      <c r="AK16" s="24" t="str">
        <f t="shared" si="39"/>
        <v/>
      </c>
      <c r="AL16" s="24" t="str">
        <f t="shared" si="40"/>
        <v/>
      </c>
      <c r="AM16" s="24" t="str">
        <f t="shared" si="19"/>
        <v/>
      </c>
      <c r="AN16" s="127"/>
      <c r="AO16" s="140" t="str">
        <f t="shared" si="20"/>
        <v/>
      </c>
      <c r="AP16" s="141" t="str">
        <f t="shared" si="21"/>
        <v/>
      </c>
      <c r="AQ16" s="142" t="str">
        <f t="shared" si="22"/>
        <v/>
      </c>
      <c r="AR16" s="143"/>
      <c r="AS16" s="154"/>
      <c r="AT16" s="155"/>
      <c r="AU16" s="155"/>
      <c r="AV16" s="146"/>
      <c r="AW16" s="134"/>
      <c r="AX16" s="134"/>
      <c r="AY16" s="134"/>
      <c r="AZ16" s="134"/>
      <c r="BA16" s="134"/>
      <c r="BB16" s="134"/>
      <c r="BC16" s="134"/>
      <c r="BD16" s="134"/>
      <c r="BE16" s="134"/>
    </row>
    <row r="17" s="1" customFormat="1" ht="24" customHeight="1" spans="1:57">
      <c r="A17" s="18" t="str">
        <f t="shared" si="23"/>
        <v/>
      </c>
      <c r="B17" s="19" t="str">
        <f t="shared" si="24"/>
        <v/>
      </c>
      <c r="C17" s="20" t="str">
        <f t="shared" si="25"/>
        <v/>
      </c>
      <c r="D17" s="21" t="str">
        <f t="shared" si="26"/>
        <v/>
      </c>
      <c r="E17" s="22" t="str">
        <f t="shared" si="41"/>
        <v/>
      </c>
      <c r="F17" s="23" t="str">
        <f t="shared" si="2"/>
        <v/>
      </c>
      <c r="G17" s="24" t="str">
        <f t="shared" si="3"/>
        <v/>
      </c>
      <c r="H17" s="24" t="str">
        <f t="shared" si="11"/>
        <v/>
      </c>
      <c r="I17" s="49" t="str">
        <f t="shared" si="12"/>
        <v/>
      </c>
      <c r="J17" s="49" t="str">
        <f t="shared" si="5"/>
        <v/>
      </c>
      <c r="K17" s="49" t="str">
        <f t="shared" si="6"/>
        <v/>
      </c>
      <c r="L17" s="49" t="str">
        <f t="shared" si="42"/>
        <v/>
      </c>
      <c r="M17" s="24" t="str">
        <f t="shared" si="7"/>
        <v/>
      </c>
      <c r="N17" s="49" t="str">
        <f t="shared" si="43"/>
        <v/>
      </c>
      <c r="O17" s="50" t="str">
        <f t="shared" si="8"/>
        <v/>
      </c>
      <c r="P17" s="51"/>
      <c r="Q17" s="75"/>
      <c r="R17" s="82"/>
      <c r="S17" s="83"/>
      <c r="T17" s="84"/>
      <c r="U17" s="85"/>
      <c r="V17" s="86"/>
      <c r="W17" s="87"/>
      <c r="X17" s="84"/>
      <c r="Y17" s="84"/>
      <c r="Z17" s="115"/>
      <c r="AA17" s="113" t="str">
        <f>IF(Y17=0,"",IF(Y17&lt;=0.4,0.3,IF(Y17&lt;=0.7,0.4,IF(Y17&lt;0.9,0.45,IF(Y17&lt;=1,0.5,IF(Y17&gt;1,ROUND(FORECAST(Y17,{0.5,1.3},{1,3}),2),""))))))</f>
        <v/>
      </c>
      <c r="AB17" s="114" t="str">
        <f>IF(Z17=0,"",IF(Z17&lt;=0.4,0.3,IF(Z17&lt;=0.7,0.4,IF(Z17&lt;0.9,0.45,IF(Z17&lt;=1,0.5,IF(Z17&gt;1,ROUND(FORECAST(Z17,{0.5,1.3},{1,3}),2),""))))))</f>
        <v/>
      </c>
      <c r="AC17" s="24" t="str">
        <f t="shared" si="31"/>
        <v/>
      </c>
      <c r="AD17" s="114" t="str">
        <f t="shared" si="32"/>
        <v/>
      </c>
      <c r="AE17" s="21" t="str">
        <f t="shared" si="33"/>
        <v/>
      </c>
      <c r="AF17" s="24" t="str">
        <f t="shared" si="34"/>
        <v/>
      </c>
      <c r="AG17" s="24" t="str">
        <f t="shared" si="35"/>
        <v/>
      </c>
      <c r="AH17" s="24" t="str">
        <f t="shared" si="36"/>
        <v/>
      </c>
      <c r="AI17" s="24" t="str">
        <f t="shared" si="37"/>
        <v/>
      </c>
      <c r="AJ17" s="24" t="str">
        <f t="shared" si="38"/>
        <v/>
      </c>
      <c r="AK17" s="24" t="str">
        <f t="shared" si="39"/>
        <v/>
      </c>
      <c r="AL17" s="24" t="str">
        <f t="shared" si="40"/>
        <v/>
      </c>
      <c r="AM17" s="24" t="str">
        <f t="shared" si="19"/>
        <v/>
      </c>
      <c r="AN17" s="127"/>
      <c r="AO17" s="140" t="str">
        <f t="shared" si="20"/>
        <v/>
      </c>
      <c r="AP17" s="141" t="str">
        <f t="shared" si="21"/>
        <v/>
      </c>
      <c r="AQ17" s="142" t="str">
        <f t="shared" si="22"/>
        <v/>
      </c>
      <c r="AR17" s="143"/>
      <c r="AS17" s="154"/>
      <c r="AT17" s="156"/>
      <c r="AU17" s="156"/>
      <c r="AV17" s="146"/>
      <c r="AW17" s="134"/>
      <c r="AX17" s="134"/>
      <c r="AY17" s="134"/>
      <c r="AZ17" s="134"/>
      <c r="BA17" s="134"/>
      <c r="BB17" s="134"/>
      <c r="BC17" s="134"/>
      <c r="BD17" s="134"/>
      <c r="BE17" s="134"/>
    </row>
    <row r="18" s="1" customFormat="1" ht="24" customHeight="1" spans="1:57">
      <c r="A18" s="18" t="str">
        <f t="shared" si="23"/>
        <v/>
      </c>
      <c r="B18" s="19" t="str">
        <f t="shared" si="24"/>
        <v/>
      </c>
      <c r="C18" s="20" t="str">
        <f t="shared" si="25"/>
        <v/>
      </c>
      <c r="D18" s="21" t="str">
        <f t="shared" si="26"/>
        <v/>
      </c>
      <c r="E18" s="22" t="str">
        <f>IF(G18="","","IV型浆砌石边沟")</f>
        <v/>
      </c>
      <c r="F18" s="23" t="str">
        <f t="shared" si="2"/>
        <v/>
      </c>
      <c r="G18" s="24" t="str">
        <f t="shared" si="3"/>
        <v/>
      </c>
      <c r="H18" s="24" t="str">
        <f t="shared" si="11"/>
        <v/>
      </c>
      <c r="I18" s="49" t="str">
        <f t="shared" si="12"/>
        <v/>
      </c>
      <c r="J18" s="49" t="str">
        <f t="shared" si="5"/>
        <v/>
      </c>
      <c r="K18" s="49" t="str">
        <f t="shared" si="6"/>
        <v/>
      </c>
      <c r="L18" s="49" t="str">
        <f t="shared" si="42"/>
        <v/>
      </c>
      <c r="M18" s="24" t="str">
        <f t="shared" si="7"/>
        <v/>
      </c>
      <c r="N18" s="49" t="str">
        <f t="shared" si="43"/>
        <v/>
      </c>
      <c r="O18" s="50" t="str">
        <f t="shared" si="8"/>
        <v/>
      </c>
      <c r="P18" s="51"/>
      <c r="Q18" s="75"/>
      <c r="R18" s="82"/>
      <c r="S18" s="83"/>
      <c r="T18" s="84"/>
      <c r="U18" s="85"/>
      <c r="V18" s="86"/>
      <c r="W18" s="87"/>
      <c r="X18" s="84"/>
      <c r="Y18" s="84"/>
      <c r="Z18" s="115"/>
      <c r="AA18" s="113" t="str">
        <f>IF(Y18=0,"",IF(Y18&lt;=0.4,0.3,IF(Y18&lt;=0.7,0.4,IF(Y18&lt;0.9,0.45,IF(Y18&lt;=1,0.5,IF(Y18&gt;1,ROUND(FORECAST(Y18,{0.5,1.3},{1,3}),2),""))))))</f>
        <v/>
      </c>
      <c r="AB18" s="114" t="str">
        <f>IF(Z18=0,"",IF(Z18&lt;=0.4,0.3,IF(Z18&lt;=0.7,0.4,IF(Z18&lt;0.9,0.45,IF(Z18&lt;=1,0.5,IF(Z18&gt;1,ROUND(FORECAST(Z18,{0.5,1.3},{1,3}),2),""))))))</f>
        <v/>
      </c>
      <c r="AC18" s="24" t="str">
        <f t="shared" si="31"/>
        <v/>
      </c>
      <c r="AD18" s="114" t="str">
        <f t="shared" si="32"/>
        <v/>
      </c>
      <c r="AE18" s="21" t="str">
        <f t="shared" si="33"/>
        <v/>
      </c>
      <c r="AF18" s="24" t="str">
        <f t="shared" si="34"/>
        <v/>
      </c>
      <c r="AG18" s="24" t="str">
        <f t="shared" si="35"/>
        <v/>
      </c>
      <c r="AH18" s="24" t="str">
        <f t="shared" si="36"/>
        <v/>
      </c>
      <c r="AI18" s="24" t="str">
        <f t="shared" si="37"/>
        <v/>
      </c>
      <c r="AJ18" s="24" t="str">
        <f t="shared" si="38"/>
        <v/>
      </c>
      <c r="AK18" s="24" t="str">
        <f t="shared" si="39"/>
        <v/>
      </c>
      <c r="AL18" s="24" t="str">
        <f t="shared" si="40"/>
        <v/>
      </c>
      <c r="AM18" s="24" t="str">
        <f t="shared" si="19"/>
        <v/>
      </c>
      <c r="AN18" s="127"/>
      <c r="AO18" s="140" t="str">
        <f t="shared" si="20"/>
        <v/>
      </c>
      <c r="AP18" s="141" t="str">
        <f t="shared" si="21"/>
        <v/>
      </c>
      <c r="AQ18" s="142" t="str">
        <f t="shared" si="22"/>
        <v/>
      </c>
      <c r="AR18" s="143"/>
      <c r="AS18" s="154"/>
      <c r="AT18" s="156"/>
      <c r="AU18" s="156"/>
      <c r="AV18" s="146"/>
      <c r="AW18" s="134"/>
      <c r="AX18" s="134"/>
      <c r="AY18" s="134"/>
      <c r="AZ18" s="134"/>
      <c r="BA18" s="134"/>
      <c r="BB18" s="134"/>
      <c r="BC18" s="134"/>
      <c r="BD18" s="134"/>
      <c r="BE18" s="134"/>
    </row>
    <row r="19" s="1" customFormat="1" ht="24" customHeight="1" spans="1:57">
      <c r="A19" s="18" t="str">
        <f t="shared" si="23"/>
        <v/>
      </c>
      <c r="B19" s="19" t="str">
        <f t="shared" si="24"/>
        <v/>
      </c>
      <c r="C19" s="20" t="str">
        <f t="shared" si="25"/>
        <v/>
      </c>
      <c r="D19" s="21" t="str">
        <f t="shared" si="26"/>
        <v/>
      </c>
      <c r="E19" s="22" t="str">
        <f t="shared" ref="E19:E25" si="44">IF(G19="","","浆砌石边沟")</f>
        <v/>
      </c>
      <c r="F19" s="23" t="str">
        <f t="shared" si="2"/>
        <v/>
      </c>
      <c r="G19" s="24" t="str">
        <f t="shared" si="3"/>
        <v/>
      </c>
      <c r="H19" s="24" t="str">
        <f t="shared" si="11"/>
        <v/>
      </c>
      <c r="I19" s="49" t="str">
        <f t="shared" si="12"/>
        <v/>
      </c>
      <c r="J19" s="49" t="str">
        <f t="shared" si="5"/>
        <v/>
      </c>
      <c r="K19" s="49" t="str">
        <f t="shared" si="6"/>
        <v/>
      </c>
      <c r="L19" s="49" t="str">
        <f t="shared" si="42"/>
        <v/>
      </c>
      <c r="M19" s="24" t="str">
        <f t="shared" si="7"/>
        <v/>
      </c>
      <c r="N19" s="49" t="str">
        <f t="shared" si="43"/>
        <v/>
      </c>
      <c r="O19" s="50" t="str">
        <f t="shared" si="8"/>
        <v/>
      </c>
      <c r="P19" s="51"/>
      <c r="Q19" s="75"/>
      <c r="R19" s="82"/>
      <c r="S19" s="83"/>
      <c r="T19" s="84"/>
      <c r="U19" s="85"/>
      <c r="V19" s="86"/>
      <c r="W19" s="87"/>
      <c r="X19" s="84"/>
      <c r="Y19" s="84"/>
      <c r="Z19" s="115"/>
      <c r="AA19" s="113" t="str">
        <f>IF(Y19=0,"",IF(Y19&lt;=0.4,0.3,IF(Y19&lt;=0.7,0.4,IF(Y19&lt;0.9,0.45,IF(Y19&lt;=1,0.5,IF(Y19&gt;1,ROUND(FORECAST(Y19,{0.5,1.3},{1,3}),2),""))))))</f>
        <v/>
      </c>
      <c r="AB19" s="114" t="str">
        <f>IF(Z19=0,"",IF(Z19&lt;=0.4,0.3,IF(Z19&lt;=0.7,0.4,IF(Z19&lt;0.9,0.45,IF(Z19&lt;=1,0.5,IF(Z19&gt;1,ROUND(FORECAST(Z19,{0.5,1.3},{1,3}),2),""))))))</f>
        <v/>
      </c>
      <c r="AC19" s="24" t="str">
        <f t="shared" si="31"/>
        <v/>
      </c>
      <c r="AD19" s="114" t="str">
        <f t="shared" si="32"/>
        <v/>
      </c>
      <c r="AE19" s="21" t="str">
        <f t="shared" si="33"/>
        <v/>
      </c>
      <c r="AF19" s="24" t="str">
        <f t="shared" si="34"/>
        <v/>
      </c>
      <c r="AG19" s="24" t="str">
        <f t="shared" si="35"/>
        <v/>
      </c>
      <c r="AH19" s="24" t="str">
        <f t="shared" si="36"/>
        <v/>
      </c>
      <c r="AI19" s="24" t="str">
        <f t="shared" si="37"/>
        <v/>
      </c>
      <c r="AJ19" s="24" t="str">
        <f t="shared" si="38"/>
        <v/>
      </c>
      <c r="AK19" s="24" t="str">
        <f t="shared" si="39"/>
        <v/>
      </c>
      <c r="AL19" s="24" t="str">
        <f t="shared" si="40"/>
        <v/>
      </c>
      <c r="AM19" s="24" t="str">
        <f t="shared" si="19"/>
        <v/>
      </c>
      <c r="AN19" s="127"/>
      <c r="AO19" s="140" t="str">
        <f t="shared" si="20"/>
        <v/>
      </c>
      <c r="AP19" s="141" t="str">
        <f t="shared" si="21"/>
        <v/>
      </c>
      <c r="AQ19" s="142" t="str">
        <f t="shared" si="22"/>
        <v/>
      </c>
      <c r="AR19" s="143"/>
      <c r="AS19" s="154"/>
      <c r="AT19" s="156"/>
      <c r="AU19" s="156"/>
      <c r="AV19" s="146"/>
      <c r="AW19" s="134"/>
      <c r="AX19" s="134"/>
      <c r="AY19" s="134"/>
      <c r="AZ19" s="134"/>
      <c r="BA19" s="134"/>
      <c r="BB19" s="134"/>
      <c r="BC19" s="134"/>
      <c r="BD19" s="134"/>
      <c r="BE19" s="134"/>
    </row>
    <row r="20" s="1" customFormat="1" ht="24" customHeight="1" spans="1:57">
      <c r="A20" s="18" t="str">
        <f t="shared" si="23"/>
        <v/>
      </c>
      <c r="B20" s="19" t="str">
        <f t="shared" si="24"/>
        <v/>
      </c>
      <c r="C20" s="20" t="str">
        <f t="shared" si="25"/>
        <v/>
      </c>
      <c r="D20" s="21" t="str">
        <f t="shared" si="26"/>
        <v/>
      </c>
      <c r="E20" s="22" t="str">
        <f t="shared" si="44"/>
        <v/>
      </c>
      <c r="F20" s="23" t="str">
        <f t="shared" si="2"/>
        <v/>
      </c>
      <c r="G20" s="24" t="str">
        <f t="shared" si="3"/>
        <v/>
      </c>
      <c r="H20" s="24" t="str">
        <f t="shared" si="11"/>
        <v/>
      </c>
      <c r="I20" s="49" t="str">
        <f t="shared" si="12"/>
        <v/>
      </c>
      <c r="J20" s="49" t="str">
        <f t="shared" si="5"/>
        <v/>
      </c>
      <c r="K20" s="49" t="str">
        <f t="shared" si="6"/>
        <v/>
      </c>
      <c r="L20" s="49" t="str">
        <f t="shared" si="42"/>
        <v/>
      </c>
      <c r="M20" s="24" t="str">
        <f t="shared" si="7"/>
        <v/>
      </c>
      <c r="N20" s="49" t="str">
        <f t="shared" si="43"/>
        <v/>
      </c>
      <c r="O20" s="50" t="str">
        <f t="shared" si="8"/>
        <v/>
      </c>
      <c r="P20" s="51"/>
      <c r="Q20" s="75"/>
      <c r="R20" s="82"/>
      <c r="S20" s="83"/>
      <c r="T20" s="84"/>
      <c r="U20" s="85"/>
      <c r="V20" s="86"/>
      <c r="W20" s="87"/>
      <c r="X20" s="84"/>
      <c r="Y20" s="84"/>
      <c r="Z20" s="115"/>
      <c r="AA20" s="113" t="str">
        <f>IF(Y20=0,"",IF(Y20&lt;=0.4,0.3,IF(Y20&lt;=0.7,0.4,IF(Y20&lt;0.9,0.45,IF(Y20&lt;=1,0.5,IF(Y20&gt;1,ROUND(FORECAST(Y20,{0.5,1.3},{1,3}),2),""))))))</f>
        <v/>
      </c>
      <c r="AB20" s="114" t="str">
        <f>IF(Z20=0,"",IF(Z20&lt;=0.4,0.3,IF(Z20&lt;=0.7,0.4,IF(Z20&lt;0.9,0.45,IF(Z20&lt;=1,0.5,IF(Z20&gt;1,ROUND(FORECAST(Z20,{0.5,1.3},{1,3}),2),""))))))</f>
        <v/>
      </c>
      <c r="AC20" s="24" t="str">
        <f t="shared" si="31"/>
        <v/>
      </c>
      <c r="AD20" s="114" t="str">
        <f t="shared" si="32"/>
        <v/>
      </c>
      <c r="AE20" s="21" t="str">
        <f t="shared" si="33"/>
        <v/>
      </c>
      <c r="AF20" s="24" t="str">
        <f t="shared" si="34"/>
        <v/>
      </c>
      <c r="AG20" s="24" t="str">
        <f t="shared" si="35"/>
        <v/>
      </c>
      <c r="AH20" s="24" t="str">
        <f t="shared" si="36"/>
        <v/>
      </c>
      <c r="AI20" s="24" t="str">
        <f t="shared" si="37"/>
        <v/>
      </c>
      <c r="AJ20" s="24" t="str">
        <f t="shared" si="38"/>
        <v/>
      </c>
      <c r="AK20" s="24" t="str">
        <f t="shared" si="39"/>
        <v/>
      </c>
      <c r="AL20" s="24" t="str">
        <f t="shared" si="40"/>
        <v/>
      </c>
      <c r="AM20" s="24" t="str">
        <f t="shared" si="19"/>
        <v/>
      </c>
      <c r="AN20" s="127"/>
      <c r="AO20" s="140" t="str">
        <f t="shared" si="20"/>
        <v/>
      </c>
      <c r="AP20" s="141" t="str">
        <f t="shared" si="21"/>
        <v/>
      </c>
      <c r="AQ20" s="142" t="str">
        <f t="shared" si="22"/>
        <v/>
      </c>
      <c r="AR20" s="143"/>
      <c r="AS20" s="154"/>
      <c r="AT20" s="156"/>
      <c r="AU20" s="156"/>
      <c r="AV20" s="146"/>
      <c r="AW20" s="134"/>
      <c r="AX20" s="134"/>
      <c r="AY20" s="134"/>
      <c r="AZ20" s="134"/>
      <c r="BA20" s="134"/>
      <c r="BB20" s="134"/>
      <c r="BC20" s="134"/>
      <c r="BD20" s="134"/>
      <c r="BE20" s="134"/>
    </row>
    <row r="21" s="1" customFormat="1" ht="24" customHeight="1" spans="1:57">
      <c r="A21" s="18" t="str">
        <f t="shared" si="23"/>
        <v/>
      </c>
      <c r="B21" s="19" t="str">
        <f t="shared" si="24"/>
        <v/>
      </c>
      <c r="C21" s="20" t="str">
        <f t="shared" si="25"/>
        <v/>
      </c>
      <c r="D21" s="21" t="str">
        <f t="shared" si="26"/>
        <v/>
      </c>
      <c r="E21" s="22" t="str">
        <f t="shared" si="44"/>
        <v/>
      </c>
      <c r="F21" s="23" t="str">
        <f t="shared" si="2"/>
        <v/>
      </c>
      <c r="G21" s="24" t="str">
        <f t="shared" si="3"/>
        <v/>
      </c>
      <c r="H21" s="24" t="str">
        <f t="shared" si="11"/>
        <v/>
      </c>
      <c r="I21" s="49" t="str">
        <f t="shared" si="12"/>
        <v/>
      </c>
      <c r="J21" s="49" t="str">
        <f t="shared" si="5"/>
        <v/>
      </c>
      <c r="K21" s="49" t="str">
        <f t="shared" si="6"/>
        <v/>
      </c>
      <c r="L21" s="49" t="str">
        <f t="shared" si="42"/>
        <v/>
      </c>
      <c r="M21" s="24" t="str">
        <f t="shared" si="7"/>
        <v/>
      </c>
      <c r="N21" s="49" t="str">
        <f t="shared" si="43"/>
        <v/>
      </c>
      <c r="O21" s="50" t="str">
        <f t="shared" si="8"/>
        <v/>
      </c>
      <c r="P21" s="51"/>
      <c r="Q21" s="75"/>
      <c r="R21" s="82"/>
      <c r="S21" s="83"/>
      <c r="T21" s="84"/>
      <c r="U21" s="85"/>
      <c r="V21" s="86"/>
      <c r="W21" s="87"/>
      <c r="X21" s="84"/>
      <c r="Y21" s="84"/>
      <c r="Z21" s="115"/>
      <c r="AA21" s="113" t="str">
        <f>IF(Y21=0,"",IF(Y21&lt;=0.4,0.3,IF(Y21&lt;=0.7,0.4,IF(Y21&lt;0.9,0.45,IF(Y21&lt;=1,0.5,IF(Y21&gt;1,ROUND(FORECAST(Y21,{0.5,1.3},{1,3}),2),""))))))</f>
        <v/>
      </c>
      <c r="AB21" s="114" t="str">
        <f>IF(Z21=0,"",IF(Z21&lt;=0.4,0.3,IF(Z21&lt;=0.7,0.4,IF(Z21&lt;0.9,0.45,IF(Z21&lt;=1,0.5,IF(Z21&gt;1,ROUND(FORECAST(Z21,{0.5,1.3},{1,3}),2),""))))))</f>
        <v/>
      </c>
      <c r="AC21" s="24" t="str">
        <f t="shared" si="31"/>
        <v/>
      </c>
      <c r="AD21" s="114" t="str">
        <f t="shared" si="32"/>
        <v/>
      </c>
      <c r="AE21" s="21" t="str">
        <f t="shared" si="33"/>
        <v/>
      </c>
      <c r="AF21" s="24" t="str">
        <f t="shared" si="34"/>
        <v/>
      </c>
      <c r="AG21" s="24" t="str">
        <f t="shared" si="35"/>
        <v/>
      </c>
      <c r="AH21" s="24" t="str">
        <f t="shared" si="36"/>
        <v/>
      </c>
      <c r="AI21" s="24" t="str">
        <f t="shared" si="37"/>
        <v/>
      </c>
      <c r="AJ21" s="24" t="str">
        <f t="shared" si="38"/>
        <v/>
      </c>
      <c r="AK21" s="24" t="str">
        <f t="shared" si="39"/>
        <v/>
      </c>
      <c r="AL21" s="24" t="str">
        <f t="shared" si="40"/>
        <v/>
      </c>
      <c r="AM21" s="24" t="str">
        <f t="shared" si="19"/>
        <v/>
      </c>
      <c r="AN21" s="127"/>
      <c r="AO21" s="140" t="str">
        <f t="shared" si="20"/>
        <v/>
      </c>
      <c r="AP21" s="141" t="str">
        <f t="shared" si="21"/>
        <v/>
      </c>
      <c r="AQ21" s="142" t="str">
        <f t="shared" si="22"/>
        <v/>
      </c>
      <c r="AR21" s="143"/>
      <c r="AS21" s="154"/>
      <c r="AT21" s="156"/>
      <c r="AU21" s="156"/>
      <c r="AV21" s="146"/>
      <c r="AW21" s="134"/>
      <c r="AX21" s="134"/>
      <c r="AY21" s="134"/>
      <c r="AZ21" s="134"/>
      <c r="BA21" s="134"/>
      <c r="BB21" s="134"/>
      <c r="BC21" s="134"/>
      <c r="BD21" s="134"/>
      <c r="BE21" s="134"/>
    </row>
    <row r="22" s="1" customFormat="1" ht="24" customHeight="1" spans="1:57">
      <c r="A22" s="18" t="str">
        <f t="shared" si="23"/>
        <v/>
      </c>
      <c r="B22" s="19" t="str">
        <f t="shared" si="24"/>
        <v/>
      </c>
      <c r="C22" s="20" t="str">
        <f t="shared" si="25"/>
        <v/>
      </c>
      <c r="D22" s="21" t="str">
        <f t="shared" si="26"/>
        <v/>
      </c>
      <c r="E22" s="22" t="str">
        <f t="shared" si="44"/>
        <v/>
      </c>
      <c r="F22" s="23" t="str">
        <f t="shared" si="2"/>
        <v/>
      </c>
      <c r="G22" s="24" t="str">
        <f t="shared" si="3"/>
        <v/>
      </c>
      <c r="H22" s="24" t="str">
        <f t="shared" si="11"/>
        <v/>
      </c>
      <c r="I22" s="49" t="str">
        <f t="shared" si="12"/>
        <v/>
      </c>
      <c r="J22" s="49" t="str">
        <f t="shared" si="5"/>
        <v/>
      </c>
      <c r="K22" s="49" t="str">
        <f t="shared" si="6"/>
        <v/>
      </c>
      <c r="L22" s="49" t="str">
        <f t="shared" si="42"/>
        <v/>
      </c>
      <c r="M22" s="24" t="str">
        <f t="shared" si="7"/>
        <v/>
      </c>
      <c r="N22" s="49" t="str">
        <f t="shared" si="43"/>
        <v/>
      </c>
      <c r="O22" s="50" t="str">
        <f t="shared" si="8"/>
        <v/>
      </c>
      <c r="P22" s="51"/>
      <c r="Q22" s="75"/>
      <c r="R22" s="82"/>
      <c r="S22" s="83"/>
      <c r="T22" s="84"/>
      <c r="U22" s="85"/>
      <c r="V22" s="86"/>
      <c r="W22" s="87"/>
      <c r="X22" s="84"/>
      <c r="Y22" s="84"/>
      <c r="Z22" s="115"/>
      <c r="AA22" s="113" t="str">
        <f>IF(Y22=0,"",IF(Y22&lt;=0.4,0.3,IF(Y22&lt;=0.7,0.4,IF(Y22&lt;0.9,0.45,IF(Y22&lt;=1,0.5,IF(Y22&gt;1,ROUND(FORECAST(Y22,{0.5,1.3},{1,3}),2),""))))))</f>
        <v/>
      </c>
      <c r="AB22" s="114" t="str">
        <f>IF(Z22=0,"",IF(Z22&lt;=0.4,0.3,IF(Z22&lt;=0.7,0.4,IF(Z22&lt;0.9,0.45,IF(Z22&lt;=1,0.5,IF(Z22&gt;1,ROUND(FORECAST(Z22,{0.5,1.3},{1,3}),2),""))))))</f>
        <v/>
      </c>
      <c r="AC22" s="24" t="str">
        <f t="shared" si="31"/>
        <v/>
      </c>
      <c r="AD22" s="114" t="str">
        <f t="shared" si="32"/>
        <v/>
      </c>
      <c r="AE22" s="21" t="str">
        <f t="shared" si="33"/>
        <v/>
      </c>
      <c r="AF22" s="24" t="str">
        <f t="shared" si="34"/>
        <v/>
      </c>
      <c r="AG22" s="24" t="str">
        <f t="shared" si="35"/>
        <v/>
      </c>
      <c r="AH22" s="24" t="str">
        <f t="shared" si="36"/>
        <v/>
      </c>
      <c r="AI22" s="24" t="str">
        <f t="shared" si="37"/>
        <v/>
      </c>
      <c r="AJ22" s="24" t="str">
        <f t="shared" si="38"/>
        <v/>
      </c>
      <c r="AK22" s="24" t="str">
        <f t="shared" si="39"/>
        <v/>
      </c>
      <c r="AL22" s="24" t="str">
        <f t="shared" si="40"/>
        <v/>
      </c>
      <c r="AM22" s="24" t="str">
        <f t="shared" si="19"/>
        <v/>
      </c>
      <c r="AN22" s="127"/>
      <c r="AO22" s="140" t="str">
        <f t="shared" si="20"/>
        <v/>
      </c>
      <c r="AP22" s="141" t="str">
        <f t="shared" si="21"/>
        <v/>
      </c>
      <c r="AQ22" s="142" t="str">
        <f t="shared" si="22"/>
        <v/>
      </c>
      <c r="AR22" s="143"/>
      <c r="AS22" s="154"/>
      <c r="AT22" s="156"/>
      <c r="AU22" s="156"/>
      <c r="AV22" s="146"/>
      <c r="AW22" s="134"/>
      <c r="AX22" s="134"/>
      <c r="AY22" s="134"/>
      <c r="AZ22" s="134"/>
      <c r="BA22" s="134"/>
      <c r="BB22" s="134"/>
      <c r="BC22" s="134"/>
      <c r="BD22" s="134"/>
      <c r="BE22" s="134"/>
    </row>
    <row r="23" s="1" customFormat="1" ht="24" customHeight="1" spans="1:57">
      <c r="A23" s="18" t="str">
        <f t="shared" si="23"/>
        <v/>
      </c>
      <c r="B23" s="19" t="str">
        <f t="shared" si="24"/>
        <v/>
      </c>
      <c r="C23" s="20" t="str">
        <f t="shared" si="25"/>
        <v/>
      </c>
      <c r="D23" s="21" t="str">
        <f t="shared" si="26"/>
        <v/>
      </c>
      <c r="E23" s="22" t="str">
        <f t="shared" si="44"/>
        <v/>
      </c>
      <c r="F23" s="23" t="str">
        <f t="shared" si="2"/>
        <v/>
      </c>
      <c r="G23" s="24" t="str">
        <f t="shared" si="3"/>
        <v/>
      </c>
      <c r="H23" s="24" t="str">
        <f t="shared" si="11"/>
        <v/>
      </c>
      <c r="I23" s="49" t="str">
        <f t="shared" si="12"/>
        <v/>
      </c>
      <c r="J23" s="49" t="str">
        <f t="shared" si="5"/>
        <v/>
      </c>
      <c r="K23" s="49" t="str">
        <f t="shared" si="6"/>
        <v/>
      </c>
      <c r="L23" s="49" t="str">
        <f t="shared" si="42"/>
        <v/>
      </c>
      <c r="M23" s="24" t="str">
        <f t="shared" si="7"/>
        <v/>
      </c>
      <c r="N23" s="49" t="str">
        <f t="shared" si="43"/>
        <v/>
      </c>
      <c r="O23" s="50" t="str">
        <f t="shared" si="8"/>
        <v/>
      </c>
      <c r="P23" s="51"/>
      <c r="Q23" s="75"/>
      <c r="R23" s="82"/>
      <c r="S23" s="83"/>
      <c r="T23" s="84"/>
      <c r="U23" s="85"/>
      <c r="V23" s="86"/>
      <c r="W23" s="87"/>
      <c r="X23" s="84"/>
      <c r="Y23" s="84"/>
      <c r="Z23" s="115"/>
      <c r="AA23" s="113" t="str">
        <f>IF(Y23=0,"",IF(Y23&lt;=0.4,0.3,IF(Y23&lt;=0.7,0.4,IF(Y23&lt;0.9,0.45,IF(Y23&lt;=1,0.5,IF(Y23&gt;1,ROUND(FORECAST(Y23,{0.5,1.3},{1,3}),2),""))))))</f>
        <v/>
      </c>
      <c r="AB23" s="114" t="str">
        <f>IF(Z23=0,"",IF(Z23&lt;=0.4,0.3,IF(Z23&lt;=0.7,0.4,IF(Z23&lt;0.9,0.45,IF(Z23&lt;=1,0.5,IF(Z23&gt;1,ROUND(FORECAST(Z23,{0.5,1.3},{1,3}),2),""))))))</f>
        <v/>
      </c>
      <c r="AC23" s="24" t="str">
        <f t="shared" si="31"/>
        <v/>
      </c>
      <c r="AD23" s="114" t="str">
        <f t="shared" si="32"/>
        <v/>
      </c>
      <c r="AE23" s="21" t="str">
        <f t="shared" si="33"/>
        <v/>
      </c>
      <c r="AF23" s="24" t="str">
        <f t="shared" si="34"/>
        <v/>
      </c>
      <c r="AG23" s="24" t="str">
        <f t="shared" si="35"/>
        <v/>
      </c>
      <c r="AH23" s="24" t="str">
        <f t="shared" si="36"/>
        <v/>
      </c>
      <c r="AI23" s="24" t="str">
        <f t="shared" si="37"/>
        <v/>
      </c>
      <c r="AJ23" s="24" t="str">
        <f t="shared" si="38"/>
        <v/>
      </c>
      <c r="AK23" s="24" t="str">
        <f t="shared" si="39"/>
        <v/>
      </c>
      <c r="AL23" s="24" t="str">
        <f t="shared" si="40"/>
        <v/>
      </c>
      <c r="AM23" s="24" t="str">
        <f t="shared" si="19"/>
        <v/>
      </c>
      <c r="AN23" s="127"/>
      <c r="AO23" s="140" t="str">
        <f t="shared" si="20"/>
        <v/>
      </c>
      <c r="AP23" s="141" t="str">
        <f t="shared" si="21"/>
        <v/>
      </c>
      <c r="AQ23" s="142" t="str">
        <f t="shared" si="22"/>
        <v/>
      </c>
      <c r="AR23" s="143"/>
      <c r="AS23" s="154"/>
      <c r="AT23" s="156"/>
      <c r="AU23" s="156"/>
      <c r="AV23" s="146"/>
      <c r="AW23" s="134"/>
      <c r="AX23" s="134"/>
      <c r="AY23" s="134"/>
      <c r="AZ23" s="134"/>
      <c r="BA23" s="134"/>
      <c r="BB23" s="134"/>
      <c r="BC23" s="134"/>
      <c r="BD23" s="134"/>
      <c r="BE23" s="134"/>
    </row>
    <row r="24" s="1" customFormat="1" ht="24" customHeight="1" spans="1:57">
      <c r="A24" s="18" t="str">
        <f t="shared" si="23"/>
        <v/>
      </c>
      <c r="B24" s="19" t="str">
        <f t="shared" si="24"/>
        <v/>
      </c>
      <c r="C24" s="20" t="str">
        <f t="shared" si="25"/>
        <v/>
      </c>
      <c r="D24" s="21" t="str">
        <f t="shared" si="26"/>
        <v/>
      </c>
      <c r="E24" s="22" t="str">
        <f t="shared" si="44"/>
        <v/>
      </c>
      <c r="F24" s="23" t="str">
        <f t="shared" si="2"/>
        <v/>
      </c>
      <c r="G24" s="24" t="str">
        <f t="shared" si="3"/>
        <v/>
      </c>
      <c r="H24" s="24" t="str">
        <f t="shared" si="11"/>
        <v/>
      </c>
      <c r="I24" s="49" t="str">
        <f t="shared" si="12"/>
        <v/>
      </c>
      <c r="J24" s="49" t="str">
        <f t="shared" si="5"/>
        <v/>
      </c>
      <c r="K24" s="49" t="str">
        <f t="shared" si="6"/>
        <v/>
      </c>
      <c r="L24" s="49" t="str">
        <f t="shared" si="42"/>
        <v/>
      </c>
      <c r="M24" s="24" t="str">
        <f t="shared" si="7"/>
        <v/>
      </c>
      <c r="N24" s="49" t="str">
        <f t="shared" si="43"/>
        <v/>
      </c>
      <c r="O24" s="50" t="str">
        <f t="shared" si="8"/>
        <v/>
      </c>
      <c r="P24" s="51"/>
      <c r="Q24" s="75"/>
      <c r="R24" s="82"/>
      <c r="S24" s="83"/>
      <c r="T24" s="84"/>
      <c r="U24" s="85"/>
      <c r="V24" s="86"/>
      <c r="W24" s="87"/>
      <c r="X24" s="84"/>
      <c r="Y24" s="84"/>
      <c r="Z24" s="115"/>
      <c r="AA24" s="113" t="str">
        <f>IF(Y24=0,"",IF(Y24&lt;=0.4,0.3,IF(Y24&lt;=0.7,0.4,IF(Y24&lt;0.9,0.45,IF(Y24&lt;=1,0.5,IF(Y24&gt;1,ROUND(FORECAST(Y24,{0.5,1.3},{1,3}),2),""))))))</f>
        <v/>
      </c>
      <c r="AB24" s="114" t="str">
        <f>IF(Z24=0,"",IF(Z24&lt;=0.4,0.3,IF(Z24&lt;=0.7,0.4,IF(Z24&lt;0.9,0.45,IF(Z24&lt;=1,0.5,IF(Z24&gt;1,ROUND(FORECAST(Z24,{0.5,1.3},{1,3}),2),""))))))</f>
        <v/>
      </c>
      <c r="AC24" s="24" t="str">
        <f t="shared" si="31"/>
        <v/>
      </c>
      <c r="AD24" s="114" t="str">
        <f t="shared" si="32"/>
        <v/>
      </c>
      <c r="AE24" s="21" t="str">
        <f t="shared" si="33"/>
        <v/>
      </c>
      <c r="AF24" s="24" t="str">
        <f t="shared" si="34"/>
        <v/>
      </c>
      <c r="AG24" s="24" t="str">
        <f t="shared" si="35"/>
        <v/>
      </c>
      <c r="AH24" s="24" t="str">
        <f t="shared" si="36"/>
        <v/>
      </c>
      <c r="AI24" s="24" t="str">
        <f t="shared" si="37"/>
        <v/>
      </c>
      <c r="AJ24" s="24" t="str">
        <f t="shared" si="38"/>
        <v/>
      </c>
      <c r="AK24" s="24" t="str">
        <f t="shared" si="39"/>
        <v/>
      </c>
      <c r="AL24" s="24" t="str">
        <f t="shared" si="40"/>
        <v/>
      </c>
      <c r="AM24" s="24" t="str">
        <f t="shared" si="19"/>
        <v/>
      </c>
      <c r="AN24" s="127"/>
      <c r="AO24" s="140" t="str">
        <f t="shared" si="20"/>
        <v/>
      </c>
      <c r="AP24" s="141" t="str">
        <f t="shared" si="21"/>
        <v/>
      </c>
      <c r="AQ24" s="142" t="str">
        <f t="shared" si="22"/>
        <v/>
      </c>
      <c r="AR24" s="143"/>
      <c r="AS24" s="154"/>
      <c r="AT24" s="156"/>
      <c r="AU24" s="156"/>
      <c r="AV24" s="146"/>
      <c r="AW24" s="134"/>
      <c r="AX24" s="134"/>
      <c r="AY24" s="134"/>
      <c r="AZ24" s="134"/>
      <c r="BA24" s="134"/>
      <c r="BB24" s="134"/>
      <c r="BC24" s="134"/>
      <c r="BD24" s="134"/>
      <c r="BE24" s="134"/>
    </row>
    <row r="25" s="1" customFormat="1" ht="24" customHeight="1" spans="1:57">
      <c r="A25" s="18" t="str">
        <f t="shared" si="23"/>
        <v/>
      </c>
      <c r="B25" s="19" t="str">
        <f t="shared" si="24"/>
        <v/>
      </c>
      <c r="C25" s="20" t="str">
        <f t="shared" si="25"/>
        <v/>
      </c>
      <c r="D25" s="21" t="str">
        <f t="shared" si="26"/>
        <v/>
      </c>
      <c r="E25" s="22" t="str">
        <f t="shared" si="44"/>
        <v/>
      </c>
      <c r="F25" s="23" t="str">
        <f t="shared" si="2"/>
        <v/>
      </c>
      <c r="G25" s="24" t="str">
        <f t="shared" si="3"/>
        <v/>
      </c>
      <c r="H25" s="24" t="str">
        <f t="shared" si="11"/>
        <v/>
      </c>
      <c r="I25" s="49" t="str">
        <f t="shared" si="12"/>
        <v/>
      </c>
      <c r="J25" s="49" t="str">
        <f t="shared" si="5"/>
        <v/>
      </c>
      <c r="K25" s="49" t="str">
        <f t="shared" si="6"/>
        <v/>
      </c>
      <c r="L25" s="49" t="str">
        <f t="shared" si="42"/>
        <v/>
      </c>
      <c r="M25" s="24" t="str">
        <f t="shared" si="7"/>
        <v/>
      </c>
      <c r="N25" s="49" t="str">
        <f t="shared" si="43"/>
        <v/>
      </c>
      <c r="O25" s="50" t="str">
        <f t="shared" si="8"/>
        <v/>
      </c>
      <c r="P25" s="51"/>
      <c r="Q25" s="75"/>
      <c r="R25" s="82"/>
      <c r="S25" s="83"/>
      <c r="T25" s="84"/>
      <c r="U25" s="85"/>
      <c r="V25" s="86"/>
      <c r="W25" s="87"/>
      <c r="X25" s="84"/>
      <c r="Y25" s="84"/>
      <c r="Z25" s="115"/>
      <c r="AA25" s="113" t="str">
        <f>IF(Y25=0,"",IF(Y25&lt;=0.4,0.3,IF(Y25&lt;=0.7,0.4,IF(Y25&lt;0.9,0.45,IF(Y25&lt;=1,0.5,IF(Y25&gt;1,ROUND(FORECAST(Y25,{0.5,1.3},{1,3}),2),""))))))</f>
        <v/>
      </c>
      <c r="AB25" s="114" t="str">
        <f>IF(Z25=0,"",IF(Z25&lt;=0.4,0.3,IF(Z25&lt;=0.7,0.4,IF(Z25&lt;0.9,0.45,IF(Z25&lt;=1,0.5,IF(Z25&gt;1,ROUND(FORECAST(Z25,{0.5,1.3},{1,3}),2),""))))))</f>
        <v/>
      </c>
      <c r="AC25" s="24" t="str">
        <f t="shared" si="31"/>
        <v/>
      </c>
      <c r="AD25" s="114" t="str">
        <f t="shared" si="32"/>
        <v/>
      </c>
      <c r="AE25" s="21" t="str">
        <f t="shared" si="33"/>
        <v/>
      </c>
      <c r="AF25" s="24" t="str">
        <f t="shared" si="34"/>
        <v/>
      </c>
      <c r="AG25" s="24" t="str">
        <f t="shared" si="35"/>
        <v/>
      </c>
      <c r="AH25" s="24" t="str">
        <f t="shared" si="36"/>
        <v/>
      </c>
      <c r="AI25" s="24" t="str">
        <f t="shared" si="37"/>
        <v/>
      </c>
      <c r="AJ25" s="24" t="str">
        <f t="shared" si="38"/>
        <v/>
      </c>
      <c r="AK25" s="24" t="str">
        <f t="shared" si="39"/>
        <v/>
      </c>
      <c r="AL25" s="24" t="str">
        <f t="shared" si="40"/>
        <v/>
      </c>
      <c r="AM25" s="24" t="str">
        <f t="shared" si="19"/>
        <v/>
      </c>
      <c r="AN25" s="127"/>
      <c r="AO25" s="140" t="str">
        <f t="shared" si="20"/>
        <v/>
      </c>
      <c r="AP25" s="141" t="str">
        <f t="shared" si="21"/>
        <v/>
      </c>
      <c r="AQ25" s="142" t="str">
        <f t="shared" si="22"/>
        <v/>
      </c>
      <c r="AR25" s="143"/>
      <c r="AS25" s="154"/>
      <c r="AT25" s="156"/>
      <c r="AU25" s="156"/>
      <c r="AV25" s="146"/>
      <c r="AW25" s="134"/>
      <c r="AX25" s="134"/>
      <c r="AY25" s="134"/>
      <c r="AZ25" s="134"/>
      <c r="BA25" s="134"/>
      <c r="BB25" s="134"/>
      <c r="BC25" s="134"/>
      <c r="BD25" s="134"/>
      <c r="BE25" s="134"/>
    </row>
    <row r="26" s="1" customFormat="1" ht="24" customHeight="1" spans="1:57">
      <c r="A26" s="18" t="str">
        <f t="shared" si="23"/>
        <v/>
      </c>
      <c r="B26" s="19" t="str">
        <f t="shared" si="24"/>
        <v/>
      </c>
      <c r="C26" s="20" t="str">
        <f t="shared" si="25"/>
        <v/>
      </c>
      <c r="D26" s="21" t="str">
        <f t="shared" si="26"/>
        <v/>
      </c>
      <c r="E26" s="22" t="str">
        <f t="shared" ref="E26:E27" si="45">IF(G26="","","浆砌石边沟")</f>
        <v/>
      </c>
      <c r="F26" s="23" t="str">
        <f t="shared" si="2"/>
        <v/>
      </c>
      <c r="G26" s="24" t="str">
        <f t="shared" si="3"/>
        <v/>
      </c>
      <c r="H26" s="24" t="str">
        <f t="shared" si="11"/>
        <v/>
      </c>
      <c r="I26" s="49" t="str">
        <f t="shared" si="12"/>
        <v/>
      </c>
      <c r="J26" s="49" t="str">
        <f t="shared" si="5"/>
        <v/>
      </c>
      <c r="K26" s="49" t="str">
        <f t="shared" si="6"/>
        <v/>
      </c>
      <c r="L26" s="49" t="str">
        <f t="shared" si="42"/>
        <v/>
      </c>
      <c r="M26" s="24" t="str">
        <f t="shared" si="7"/>
        <v/>
      </c>
      <c r="N26" s="49" t="str">
        <f t="shared" si="43"/>
        <v/>
      </c>
      <c r="O26" s="50" t="str">
        <f t="shared" si="8"/>
        <v/>
      </c>
      <c r="P26" s="51"/>
      <c r="Q26" s="75"/>
      <c r="R26" s="82"/>
      <c r="S26" s="83"/>
      <c r="T26" s="84"/>
      <c r="U26" s="85"/>
      <c r="V26" s="86"/>
      <c r="W26" s="87"/>
      <c r="X26" s="84"/>
      <c r="Y26" s="84"/>
      <c r="Z26" s="115"/>
      <c r="AA26" s="113" t="str">
        <f>IF(Y26=0,"",IF(Y26&lt;=0.4,0.3,IF(Y26&lt;=0.7,0.4,IF(Y26&lt;0.9,0.45,IF(Y26&lt;=1,0.5,IF(Y26&gt;1,ROUND(FORECAST(Y26,{0.5,1.3},{1,3}),2),""))))))</f>
        <v/>
      </c>
      <c r="AB26" s="114" t="str">
        <f>IF(Z26=0,"",IF(Z26&lt;=0.4,0.3,IF(Z26&lt;=0.7,0.4,IF(Z26&lt;0.9,0.45,IF(Z26&lt;=1,0.5,IF(Z26&gt;1,ROUND(FORECAST(Z26,{0.5,1.3},{1,3}),2),""))))))</f>
        <v/>
      </c>
      <c r="AC26" s="24" t="str">
        <f t="shared" si="31"/>
        <v/>
      </c>
      <c r="AD26" s="114" t="str">
        <f t="shared" si="32"/>
        <v/>
      </c>
      <c r="AE26" s="21" t="str">
        <f t="shared" si="33"/>
        <v/>
      </c>
      <c r="AF26" s="24" t="str">
        <f t="shared" si="34"/>
        <v/>
      </c>
      <c r="AG26" s="24" t="str">
        <f t="shared" si="35"/>
        <v/>
      </c>
      <c r="AH26" s="24" t="str">
        <f t="shared" si="36"/>
        <v/>
      </c>
      <c r="AI26" s="24" t="str">
        <f t="shared" si="37"/>
        <v/>
      </c>
      <c r="AJ26" s="24" t="str">
        <f t="shared" si="38"/>
        <v/>
      </c>
      <c r="AK26" s="24" t="str">
        <f t="shared" si="39"/>
        <v/>
      </c>
      <c r="AL26" s="24" t="str">
        <f t="shared" si="40"/>
        <v/>
      </c>
      <c r="AM26" s="24" t="str">
        <f t="shared" si="19"/>
        <v/>
      </c>
      <c r="AN26" s="127"/>
      <c r="AO26" s="140" t="str">
        <f t="shared" si="20"/>
        <v/>
      </c>
      <c r="AP26" s="141" t="str">
        <f t="shared" si="21"/>
        <v/>
      </c>
      <c r="AQ26" s="142" t="str">
        <f t="shared" si="22"/>
        <v/>
      </c>
      <c r="AR26" s="143"/>
      <c r="AS26" s="154"/>
      <c r="AT26" s="156"/>
      <c r="AU26" s="156"/>
      <c r="AV26" s="146"/>
      <c r="AW26" s="134"/>
      <c r="AX26" s="134"/>
      <c r="AY26" s="134"/>
      <c r="AZ26" s="134"/>
      <c r="BA26" s="134"/>
      <c r="BB26" s="134"/>
      <c r="BC26" s="134"/>
      <c r="BD26" s="134"/>
      <c r="BE26" s="134"/>
    </row>
    <row r="27" s="1" customFormat="1" ht="24" customHeight="1" spans="1:57">
      <c r="A27" s="18" t="str">
        <f t="shared" si="23"/>
        <v/>
      </c>
      <c r="B27" s="19" t="str">
        <f t="shared" si="24"/>
        <v/>
      </c>
      <c r="C27" s="20" t="str">
        <f t="shared" si="25"/>
        <v/>
      </c>
      <c r="D27" s="21" t="str">
        <f t="shared" si="26"/>
        <v/>
      </c>
      <c r="E27" s="22" t="str">
        <f t="shared" si="45"/>
        <v/>
      </c>
      <c r="F27" s="23" t="str">
        <f t="shared" si="2"/>
        <v/>
      </c>
      <c r="G27" s="24" t="str">
        <f t="shared" si="3"/>
        <v/>
      </c>
      <c r="H27" s="24" t="str">
        <f t="shared" si="11"/>
        <v/>
      </c>
      <c r="I27" s="49" t="str">
        <f t="shared" si="12"/>
        <v/>
      </c>
      <c r="J27" s="49" t="str">
        <f t="shared" si="5"/>
        <v/>
      </c>
      <c r="K27" s="49" t="str">
        <f t="shared" si="6"/>
        <v/>
      </c>
      <c r="L27" s="49" t="str">
        <f t="shared" si="42"/>
        <v/>
      </c>
      <c r="M27" s="24" t="str">
        <f t="shared" si="7"/>
        <v/>
      </c>
      <c r="N27" s="49" t="str">
        <f t="shared" si="43"/>
        <v/>
      </c>
      <c r="O27" s="50" t="str">
        <f t="shared" si="8"/>
        <v/>
      </c>
      <c r="P27" s="51"/>
      <c r="Q27" s="75"/>
      <c r="R27" s="82"/>
      <c r="S27" s="94"/>
      <c r="T27" s="95"/>
      <c r="U27" s="96"/>
      <c r="V27" s="97"/>
      <c r="W27" s="98"/>
      <c r="X27" s="95"/>
      <c r="Y27" s="95"/>
      <c r="Z27" s="121"/>
      <c r="AA27" s="113" t="str">
        <f>IF(Y27=0,"",IF(Y27&lt;=0.4,0.3,IF(Y27&lt;=0.7,0.4,IF(Y27&lt;0.9,0.45,IF(Y27&lt;=1,0.5,IF(Y27&gt;1,ROUND(FORECAST(Y27,{0.5,1.3},{1,3}),2),""))))))</f>
        <v/>
      </c>
      <c r="AB27" s="114" t="str">
        <f>IF(Z27=0,"",IF(Z27&lt;=0.4,0.3,IF(Z27&lt;=0.7,0.4,IF(Z27&lt;0.9,0.45,IF(Z27&lt;=1,0.5,IF(Z27&gt;1,ROUND(FORECAST(Z27,{0.5,1.3},{1,3}),2),""))))))</f>
        <v/>
      </c>
      <c r="AC27" s="24" t="str">
        <f t="shared" si="31"/>
        <v/>
      </c>
      <c r="AD27" s="114" t="str">
        <f t="shared" si="32"/>
        <v/>
      </c>
      <c r="AE27" s="21" t="str">
        <f t="shared" si="33"/>
        <v/>
      </c>
      <c r="AF27" s="24" t="str">
        <f t="shared" si="34"/>
        <v/>
      </c>
      <c r="AG27" s="24" t="str">
        <f t="shared" si="35"/>
        <v/>
      </c>
      <c r="AH27" s="24" t="str">
        <f t="shared" si="36"/>
        <v/>
      </c>
      <c r="AI27" s="24" t="str">
        <f t="shared" si="37"/>
        <v/>
      </c>
      <c r="AJ27" s="24" t="str">
        <f t="shared" si="38"/>
        <v/>
      </c>
      <c r="AK27" s="24" t="str">
        <f t="shared" si="39"/>
        <v/>
      </c>
      <c r="AL27" s="24" t="str">
        <f t="shared" si="40"/>
        <v/>
      </c>
      <c r="AM27" s="24" t="str">
        <f t="shared" si="19"/>
        <v/>
      </c>
      <c r="AN27" s="127"/>
      <c r="AO27" s="157" t="str">
        <f t="shared" si="20"/>
        <v/>
      </c>
      <c r="AP27" s="141" t="str">
        <f t="shared" si="21"/>
        <v/>
      </c>
      <c r="AQ27" s="142" t="str">
        <f t="shared" si="22"/>
        <v/>
      </c>
      <c r="AR27" s="143"/>
      <c r="AS27" s="154"/>
      <c r="AT27" s="156"/>
      <c r="AU27" s="156"/>
      <c r="AV27" s="146"/>
      <c r="AW27" s="134"/>
      <c r="AX27" s="134"/>
      <c r="AY27" s="134"/>
      <c r="AZ27" s="134"/>
      <c r="BA27" s="134"/>
      <c r="BB27" s="134"/>
      <c r="BC27" s="134"/>
      <c r="BD27" s="134"/>
      <c r="BE27" s="134"/>
    </row>
    <row r="28" s="1" customFormat="1" ht="24" customHeight="1" spans="1:57">
      <c r="A28" s="26"/>
      <c r="B28" s="27" t="s">
        <v>59</v>
      </c>
      <c r="C28" s="27"/>
      <c r="D28" s="27"/>
      <c r="E28" s="27"/>
      <c r="F28" s="28"/>
      <c r="G28" s="29">
        <f>SUM(G7:G27)</f>
        <v>98</v>
      </c>
      <c r="H28" s="29"/>
      <c r="I28" s="29"/>
      <c r="J28" s="52">
        <f>SUM(J7:J27)</f>
        <v>12.74</v>
      </c>
      <c r="K28" s="52">
        <f>SUM(K7:K27)</f>
        <v>127.4</v>
      </c>
      <c r="L28" s="52">
        <f>SUM(L7:L27)</f>
        <v>90.16</v>
      </c>
      <c r="M28" s="52">
        <f>SUM(M7:M27)</f>
        <v>2.43</v>
      </c>
      <c r="N28" s="52">
        <f>SUM(N7:N27)</f>
        <v>127.4</v>
      </c>
      <c r="O28" s="53"/>
      <c r="P28" s="54"/>
      <c r="Q28" s="99"/>
      <c r="R28" s="100"/>
      <c r="S28" s="11"/>
      <c r="T28" s="11"/>
      <c r="U28" s="61"/>
      <c r="V28" s="101"/>
      <c r="X28" s="11"/>
      <c r="Y28" s="11"/>
      <c r="Z28" s="11"/>
      <c r="AA28" s="43"/>
      <c r="AD28" s="43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P28" s="100"/>
      <c r="AQ28" s="61"/>
      <c r="AR28" s="43"/>
      <c r="AS28" s="158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</row>
    <row r="29" s="1" customFormat="1" ht="23.1" customHeight="1" spans="1:57">
      <c r="A29" s="30"/>
      <c r="B29" s="30" t="s">
        <v>60</v>
      </c>
      <c r="C29" s="30"/>
      <c r="D29" s="30"/>
      <c r="E29" s="11"/>
      <c r="F29" s="11"/>
      <c r="G29" s="11"/>
      <c r="H29" s="11"/>
      <c r="I29" s="11" t="s">
        <v>61</v>
      </c>
      <c r="J29" s="11"/>
      <c r="K29" s="11"/>
      <c r="L29" s="34"/>
      <c r="M29" s="55"/>
      <c r="N29" s="11"/>
      <c r="O29" s="11" t="s">
        <v>62</v>
      </c>
      <c r="P29" s="11"/>
      <c r="Q29" s="11"/>
      <c r="R29" s="11"/>
      <c r="S29" s="11"/>
      <c r="T29" s="11"/>
      <c r="U29" s="61"/>
      <c r="V29" s="11"/>
      <c r="X29" s="11"/>
      <c r="Y29" s="11"/>
      <c r="Z29" s="11"/>
      <c r="AA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P29" s="11"/>
      <c r="AQ29" s="61"/>
      <c r="AR29" s="11"/>
      <c r="AS29" s="158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</row>
    <row r="30" ht="16.5" customHeight="1"/>
    <row r="37" spans="23:24">
      <c r="W37" s="7">
        <v>0.8</v>
      </c>
      <c r="X37" s="4">
        <v>0.45</v>
      </c>
    </row>
    <row r="38" spans="23:24">
      <c r="W38" s="7">
        <v>1</v>
      </c>
      <c r="X38" s="4">
        <v>0.5</v>
      </c>
    </row>
    <row r="39" spans="23:24">
      <c r="W39" s="7">
        <v>1.2</v>
      </c>
      <c r="X39" s="4">
        <v>0.55</v>
      </c>
    </row>
    <row r="40" spans="23:24">
      <c r="W40" s="7">
        <v>1.4</v>
      </c>
      <c r="X40" s="4">
        <v>0.6</v>
      </c>
    </row>
    <row r="41" spans="23:24">
      <c r="W41" s="7">
        <v>1.6</v>
      </c>
      <c r="X41" s="4">
        <v>0.65</v>
      </c>
    </row>
    <row r="42" spans="23:24">
      <c r="W42" s="7">
        <v>1.8</v>
      </c>
      <c r="X42" s="4">
        <v>0.7</v>
      </c>
    </row>
    <row r="43" spans="23:24">
      <c r="W43" s="7">
        <v>2</v>
      </c>
      <c r="X43" s="4">
        <v>0.75</v>
      </c>
    </row>
    <row r="44" spans="23:24">
      <c r="W44" s="7">
        <v>2.2</v>
      </c>
      <c r="X44" s="4">
        <v>0.8</v>
      </c>
    </row>
    <row r="45" spans="23:24">
      <c r="W45" s="7">
        <v>2.4</v>
      </c>
      <c r="X45" s="4">
        <v>0.85</v>
      </c>
    </row>
    <row r="46" spans="23:24">
      <c r="W46" s="7">
        <v>2.6</v>
      </c>
      <c r="X46" s="4">
        <v>0.9</v>
      </c>
    </row>
    <row r="47" spans="23:24">
      <c r="W47" s="7">
        <v>2.8</v>
      </c>
      <c r="X47" s="4">
        <v>0.95</v>
      </c>
    </row>
    <row r="48" spans="23:24">
      <c r="W48" s="7">
        <v>3</v>
      </c>
      <c r="X48" s="4">
        <v>1</v>
      </c>
    </row>
  </sheetData>
  <sheetProtection formatCells="0" insertRows="0" insertColumns="0" insertHyperlinks="0" deleteColumns="0"/>
  <mergeCells count="85">
    <mergeCell ref="X1:AD1"/>
    <mergeCell ref="AE1:AL1"/>
    <mergeCell ref="L2:M2"/>
    <mergeCell ref="O7:Q7"/>
    <mergeCell ref="O8:Q8"/>
    <mergeCell ref="O9:Q9"/>
    <mergeCell ref="O10:Q10"/>
    <mergeCell ref="O11:Q11"/>
    <mergeCell ref="O12:Q12"/>
    <mergeCell ref="O13:Q13"/>
    <mergeCell ref="O14:Q14"/>
    <mergeCell ref="O15:Q15"/>
    <mergeCell ref="O16:Q16"/>
    <mergeCell ref="O17:Q17"/>
    <mergeCell ref="O18:Q18"/>
    <mergeCell ref="O19:Q19"/>
    <mergeCell ref="O20:Q20"/>
    <mergeCell ref="O21:Q21"/>
    <mergeCell ref="O22:Q22"/>
    <mergeCell ref="O23:Q23"/>
    <mergeCell ref="O24:Q24"/>
    <mergeCell ref="O25:Q25"/>
    <mergeCell ref="O26:Q26"/>
    <mergeCell ref="O27:Q27"/>
    <mergeCell ref="B28:D28"/>
    <mergeCell ref="O28:Q28"/>
    <mergeCell ref="B29:D29"/>
    <mergeCell ref="A3:A6"/>
    <mergeCell ref="E3:E6"/>
    <mergeCell ref="F3:F6"/>
    <mergeCell ref="G3:G5"/>
    <mergeCell ref="H3:H5"/>
    <mergeCell ref="I3:I5"/>
    <mergeCell ref="N3:N5"/>
    <mergeCell ref="S2:S5"/>
    <mergeCell ref="T2:T5"/>
    <mergeCell ref="U5:U6"/>
    <mergeCell ref="V5:V6"/>
    <mergeCell ref="W1:W2"/>
    <mergeCell ref="W3:W4"/>
    <mergeCell ref="W5:W6"/>
    <mergeCell ref="X4:X5"/>
    <mergeCell ref="Y4:Y5"/>
    <mergeCell ref="Z2:Z3"/>
    <mergeCell ref="Z4:Z5"/>
    <mergeCell ref="AA4:AA5"/>
    <mergeCell ref="AB4:AB5"/>
    <mergeCell ref="AC4:AC5"/>
    <mergeCell ref="AD2:AD3"/>
    <mergeCell ref="AD4:AD5"/>
    <mergeCell ref="AE4:AE5"/>
    <mergeCell ref="AF4:AF5"/>
    <mergeCell ref="AG4:AG5"/>
    <mergeCell ref="AH4:AH5"/>
    <mergeCell ref="AI2:AI3"/>
    <mergeCell ref="AI4:AI5"/>
    <mergeCell ref="AJ2:AJ3"/>
    <mergeCell ref="AJ4:AJ5"/>
    <mergeCell ref="AK4:AK5"/>
    <mergeCell ref="AL4:AL5"/>
    <mergeCell ref="AM1:AM3"/>
    <mergeCell ref="AM4:AM5"/>
    <mergeCell ref="AR4:AR5"/>
    <mergeCell ref="AS4:AS5"/>
    <mergeCell ref="AT4:AT5"/>
    <mergeCell ref="AU4:AU5"/>
    <mergeCell ref="AV4:AV5"/>
    <mergeCell ref="AW4:AW5"/>
    <mergeCell ref="AX4:AX5"/>
    <mergeCell ref="AY4:AY5"/>
    <mergeCell ref="AZ4:AZ5"/>
    <mergeCell ref="BA4:BA5"/>
    <mergeCell ref="BB4:BB5"/>
    <mergeCell ref="BC4:BC5"/>
    <mergeCell ref="BD4:BD5"/>
    <mergeCell ref="BE4:BE5"/>
    <mergeCell ref="B3:D6"/>
    <mergeCell ref="O3:Q6"/>
    <mergeCell ref="J3:M4"/>
    <mergeCell ref="AA2:AC3"/>
    <mergeCell ref="AO2:AQ6"/>
    <mergeCell ref="X2:Y3"/>
    <mergeCell ref="AK2:AL3"/>
    <mergeCell ref="U1:V4"/>
    <mergeCell ref="AE2:AH3"/>
  </mergeCells>
  <dataValidations count="3">
    <dataValidation type="list" allowBlank="1" showInputMessage="1" showErrorMessage="1" sqref="AI4">
      <formula1>"沥青麻絮,沥青木板"</formula1>
    </dataValidation>
    <dataValidation type="list" allowBlank="1" showInputMessage="1" showErrorMessage="1" sqref="W7:W27">
      <formula1>"道路左侧,道路右侧,道路两侧"</formula1>
    </dataValidation>
    <dataValidation type="list" allowBlank="1" showInputMessage="1" showErrorMessage="1" sqref="W3:W4">
      <formula1>"公 路,水 利"</formula1>
    </dataValidation>
  </dataValidations>
  <printOptions horizontalCentered="1" verticalCentered="1"/>
  <pageMargins left="0.984251968503937" right="0.511811023622047" top="0.590551181102362" bottom="0.590551181102362" header="1.37795275590551" footer="0.393700787401575"/>
  <pageSetup paperSize="9" scale="64" orientation="landscape" blackAndWhite="1"/>
  <headerFooter alignWithMargins="0"/>
  <drawing r:id="rId2"/>
  <legacyDrawing r:id="rId3"/>
  <oleObjects>
    <mc:AlternateContent xmlns:mc="http://schemas.openxmlformats.org/markup-compatibility/2006">
      <mc:Choice Requires="x14">
        <oleObject shapeId="3080" progId="AutoCAD.Drawing.19" r:id="rId4">
          <objectPr defaultSize="0" r:id="rId5">
            <anchor moveWithCells="1" sizeWithCells="1">
              <from>
                <xdr:col>8</xdr:col>
                <xdr:colOff>581025</xdr:colOff>
                <xdr:row>27</xdr:row>
                <xdr:rowOff>197485</xdr:rowOff>
              </from>
              <to>
                <xdr:col>9</xdr:col>
                <xdr:colOff>668655</xdr:colOff>
                <xdr:row>30</xdr:row>
                <xdr:rowOff>36830</xdr:rowOff>
              </to>
            </anchor>
          </objectPr>
        </oleObject>
      </mc:Choice>
      <mc:Fallback>
        <oleObject shapeId="3080" progId="AutoCAD.Drawing.1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WPS_1542782865</cp:lastModifiedBy>
  <dcterms:created xsi:type="dcterms:W3CDTF">1996-12-17T01:32:00Z</dcterms:created>
  <cp:lastPrinted>2023-12-16T07:43:00Z</cp:lastPrinted>
  <dcterms:modified xsi:type="dcterms:W3CDTF">2024-08-05T06:36:26Z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5B69419369774BB6A2DDD3EA5147F73A_12</vt:lpwstr>
  </property>
  <property fmtid="{D5CDD505-2E9C-101B-9397-08002B2CF9AE}" pid="3" name="KSOProductBuildVer">
    <vt:lpwstr>2052-11.8.2.8411</vt:lpwstr>
  </property>
</Properties>
</file>