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<sst xmlns="http://schemas.openxmlformats.org/spreadsheetml/2006/main" count="334" uniqueCount="60">
  <si>
    <t>评审情况表</t>
  </si>
  <si>
    <t>项目名称：</t>
  </si>
  <si>
    <t>成都市生态环境局2021中国环博会成都展会采购项目</t>
  </si>
  <si>
    <t>项目编号：510101202100578</t>
  </si>
  <si>
    <t>评审时间：2021/06/17</t>
  </si>
  <si>
    <t>评审过程</t>
  </si>
  <si>
    <t>第一包</t>
  </si>
  <si>
    <t>序号</t>
  </si>
  <si>
    <t>供应商名称</t>
  </si>
  <si>
    <t>是否通过资格性审查</t>
  </si>
  <si>
    <t>未通过原因</t>
  </si>
  <si>
    <t>是否通过有效性、完整性和响应程度审查</t>
  </si>
  <si>
    <t>是否通过报价审查</t>
  </si>
  <si>
    <t>技术、服务要求</t>
  </si>
  <si>
    <t>实施方案</t>
  </si>
  <si>
    <t>履约能力</t>
  </si>
  <si>
    <t>后续服务</t>
  </si>
  <si>
    <t>扶持不发达地区和少数民族地区</t>
  </si>
  <si>
    <t>报价</t>
  </si>
  <si>
    <t>总得分</t>
  </si>
  <si>
    <t>平均分</t>
  </si>
  <si>
    <t>排序</t>
  </si>
  <si>
    <t>评审结果</t>
  </si>
  <si>
    <t>中贸慕尼黑展览（上海）有限公司</t>
  </si>
  <si>
    <t>是</t>
  </si>
  <si>
    <t>/</t>
  </si>
  <si>
    <t>第一成交候选人：中贸慕尼黑展览（上海）有限公司，             报价金额：199500.00元；
第二成交候选人: 上海环展展览有限公司，                       报价金额：199800.00元；                                                    
第三成交候选人：上海城广展览服务有限公司，                   报价金额：199900.00元。</t>
  </si>
  <si>
    <t>上海环展展览有限公司</t>
  </si>
  <si>
    <t>上海城广展览服务有限公司</t>
  </si>
  <si>
    <t>第二包</t>
  </si>
  <si>
    <t>全联环境服务业商会</t>
  </si>
  <si>
    <t>第一成交候选人：全联环境服务业商会，                         报价金额：495290.00元；
第二成交候选人: 四川创之翼舞台设备有限公司，                 报价金额：498645.00元；                                                    
第三成交候选人：成都世纪天成演艺设备租赁有限公司，           报价金额：499048.00元。</t>
  </si>
  <si>
    <t>成都世纪天成演艺设备租赁有限公司</t>
  </si>
  <si>
    <t>四川创之翼舞台设备有限公司</t>
  </si>
  <si>
    <t>第三包</t>
  </si>
  <si>
    <t>成都环境与健康研究促进会</t>
  </si>
  <si>
    <t>第一成交候选人：成都环境与健康研究促进会，                   报价金额：199200.00元；
第二成交候选人: 成都市环协共治生态环境咨询服务有限责任公司， 报价金额：199500.00元；                                                    
第三成交候选人：成都环保志愿服务联合会，                     报价金额：199800.00元。</t>
  </si>
  <si>
    <t>成都环保志愿服务联合会</t>
  </si>
  <si>
    <t>成都市环协共治生态环境咨询服务有限责任公司</t>
  </si>
  <si>
    <t>第四包</t>
  </si>
  <si>
    <t>成都市环境科学学会</t>
  </si>
  <si>
    <t>第一成交候选人：成都市环境科学学会，                         报价金额：199100.00元；
第二成交候选人: 成都市楠竹缘商务信息咨询有限公司，           报价金额：199500.00元；                                                    
第三成交候选人：成都市乐由新声文化传播有限公司，             报价金额：199600.00元。</t>
  </si>
  <si>
    <t>成都市乐由新声文化传播有限公司</t>
  </si>
  <si>
    <t>成都市楠竹缘商务信息咨询有限公司</t>
  </si>
  <si>
    <t>第五包</t>
  </si>
  <si>
    <t>技术服务要求</t>
  </si>
  <si>
    <t>成都万象蓉和餐饮有限公司</t>
  </si>
  <si>
    <t>第一成交候选人：成都天投物业管理有限公司，                   报价金额：148500.00元；
第二成交候选人: 成都万象蓉和餐饮有限公司，                   报价金额：149800.00元；                                                    
第三成交候选人：成都大蓉和拉德方斯餐饮管理有限公司，         报价金额：149100.00元。</t>
  </si>
  <si>
    <t>成都大蓉和拉德方斯餐饮管理有限公司</t>
  </si>
  <si>
    <t>成都天投物业管理有限公司</t>
  </si>
  <si>
    <t>第六包</t>
  </si>
  <si>
    <t>成都神州梦会议服务有限公司</t>
  </si>
  <si>
    <t>第一成交候选人：成都神州梦会议服务有限公司，                 报价金额：347500.00元；
第二成交候选人: 成都市扬成会议服务有限公司，                 报价金额：349000.00元；                                                    
第三成交候选人：组织家文化传播成都有限公司，                 报价金额：348000.00元。</t>
  </si>
  <si>
    <t>组织家文化传播成都有限公司</t>
  </si>
  <si>
    <t>成都市扬成会议服务有限公司</t>
  </si>
  <si>
    <t>第七包</t>
  </si>
  <si>
    <t>第一成交候选人：中贸慕尼黑展览（上海）有限公司，             报价金额：799500.00元；
第二成交候选人: 上海环展展览有限公司，                       报价金额：799800.00元；                                                    
第三成交候选人：成都博展致诚会展服务有限公司，               报价金额：799900.00元。</t>
  </si>
  <si>
    <t>成都博展致诚会展服务有限公司</t>
  </si>
  <si>
    <t>第八包</t>
  </si>
  <si>
    <t>第一成交候选人：中贸慕尼黑展览（上海）有限公司，             报价金额：249600.00元；
第二成交候选人: 上海城广展览服务有限公司，                   报价金额：249800.00元；                                                    
第三成交候选人：成都博展致诚会展服务有限公司，               报价金额：249880.00元。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</si>
</sst>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);[Red]\(0.00\)"/>
  </numFmts>
  <fonts count="29">
    <font>
      <sz val="12"/>
      <name val="宋体"/>
      <charset val="134"/>
    </font>
    <font>
      <b/>
      <sz val="12"/>
      <name val="楷体_GB2312"/>
      <charset val="134"/>
    </font>
    <font>
      <b/>
      <sz val="10"/>
      <name val="楷体_GB2312"/>
      <charset val="134"/>
    </font>
    <font>
      <sz val="10"/>
      <name val="楷体_GB2312"/>
      <charset val="134"/>
    </font>
    <font>
      <b/>
      <sz val="16"/>
      <name val="黑体"/>
      <charset val="134"/>
    </font>
    <font>
      <sz val="12"/>
      <name val="宋体"/>
      <charset val="134"/>
    </font>
    <font>
      <sz val="12"/>
      <color rgb="FF606266"/>
      <name val="宋体"/>
      <charset val="134"/>
    </font>
    <font>
      <sz val="12"/>
      <color rgb="FF000000"/>
      <name val="宋体"/>
      <charset val="134"/>
    </font>
    <font>
      <sz val="12"/>
      <name val="楷体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5F7FA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9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26" borderId="9" applyNumberFormat="0" applyFon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31" borderId="13" applyNumberFormat="0" applyAlignment="0" applyProtection="0">
      <alignment vertical="center"/>
    </xf>
    <xf numFmtId="0" fontId="28" fillId="31" borderId="8" applyNumberFormat="0" applyAlignment="0" applyProtection="0">
      <alignment vertical="center"/>
    </xf>
    <xf numFmtId="0" fontId="13" fillId="17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>
      <alignment vertical="center"/>
    </xf>
    <xf numFmtId="0" fontId="3" fillId="0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7" fontId="0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7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 wrapText="1"/>
    </xf>
    <xf numFmtId="177" fontId="0" fillId="0" borderId="4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8" fillId="0" borderId="0" xfId="0" applyFo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4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44"/>
  <sheetViews>
    <sheetView tabSelected="1" zoomScale="85" zoomScaleNormal="85" topLeftCell="A16" workbookViewId="0">
      <selection activeCell="R45" sqref="R45"/>
    </sheetView>
  </sheetViews>
  <sheetFormatPr defaultColWidth="8.75" defaultRowHeight="39.95" customHeight="1"/>
  <cols>
    <col min="1" max="1" width="10.625" style="3" customWidth="1"/>
    <col min="2" max="2" width="35.4416666666667" style="3" customWidth="1"/>
    <col min="3" max="3" width="7.625" style="3" customWidth="1"/>
    <col min="4" max="4" width="6.625" style="3" customWidth="1"/>
    <col min="5" max="5" width="12.625" style="3" customWidth="1"/>
    <col min="6" max="6" width="6.625" style="3" customWidth="1"/>
    <col min="7" max="7" width="7.625" style="3" customWidth="1"/>
    <col min="8" max="8" width="6.625" style="3" customWidth="1"/>
    <col min="9" max="12" width="8.125" style="4" customWidth="1"/>
    <col min="13" max="13" width="9.55" style="4" customWidth="1"/>
    <col min="14" max="17" width="9.625" style="5" customWidth="1"/>
    <col min="18" max="18" width="87.9416666666667" style="6" customWidth="1"/>
    <col min="19" max="41" width="9" style="3" customWidth="1"/>
    <col min="42" max="244" width="8.75" style="3"/>
  </cols>
  <sheetData>
    <row r="1" ht="30" customHeight="1" spans="1:18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="1" customFormat="1" ht="30" customHeight="1" spans="1:18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4"/>
      <c r="O2" s="24"/>
      <c r="P2" s="24"/>
      <c r="Q2" s="24"/>
      <c r="R2" s="36"/>
    </row>
    <row r="3" s="1" customFormat="1" ht="30" customHeight="1" spans="1:244">
      <c r="A3" s="10" t="s">
        <v>1</v>
      </c>
      <c r="B3" s="11" t="s">
        <v>2</v>
      </c>
      <c r="C3" s="12" t="s">
        <v>3</v>
      </c>
      <c r="D3" s="12"/>
      <c r="E3" s="12"/>
      <c r="F3" s="12"/>
      <c r="G3" s="12"/>
      <c r="H3" s="12"/>
      <c r="I3" s="25" t="s">
        <v>4</v>
      </c>
      <c r="J3" s="26"/>
      <c r="K3" s="26"/>
      <c r="L3" s="26"/>
      <c r="M3" s="26"/>
      <c r="N3" s="26"/>
      <c r="O3" s="26"/>
      <c r="P3" s="26"/>
      <c r="Q3" s="26"/>
      <c r="R3" s="37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</row>
    <row r="4" s="1" customFormat="1" ht="20" customHeight="1" spans="1:18">
      <c r="A4" s="10" t="s">
        <v>5</v>
      </c>
      <c r="B4" s="10"/>
      <c r="C4" s="10"/>
      <c r="D4" s="10"/>
      <c r="E4" s="13"/>
      <c r="F4" s="13"/>
      <c r="G4" s="10"/>
      <c r="H4" s="10"/>
      <c r="I4" s="13"/>
      <c r="J4" s="13"/>
      <c r="K4" s="13"/>
      <c r="L4" s="13"/>
      <c r="M4" s="13"/>
      <c r="N4" s="27"/>
      <c r="O4" s="27"/>
      <c r="P4" s="27"/>
      <c r="Q4" s="27"/>
      <c r="R4" s="10"/>
    </row>
    <row r="5" s="1" customFormat="1" ht="20" customHeight="1" spans="1:18">
      <c r="A5" s="14" t="s">
        <v>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39"/>
    </row>
    <row r="6" s="2" customFormat="1" ht="60" customHeight="1" spans="1:244">
      <c r="A6" s="16" t="s">
        <v>7</v>
      </c>
      <c r="B6" s="16" t="s">
        <v>8</v>
      </c>
      <c r="C6" s="16" t="s">
        <v>9</v>
      </c>
      <c r="D6" s="16" t="s">
        <v>10</v>
      </c>
      <c r="E6" s="16" t="s">
        <v>11</v>
      </c>
      <c r="F6" s="16" t="s">
        <v>10</v>
      </c>
      <c r="G6" s="16" t="s">
        <v>12</v>
      </c>
      <c r="H6" s="16" t="s">
        <v>10</v>
      </c>
      <c r="I6" s="28" t="s">
        <v>13</v>
      </c>
      <c r="J6" s="28" t="s">
        <v>14</v>
      </c>
      <c r="K6" s="28" t="s">
        <v>15</v>
      </c>
      <c r="L6" s="28" t="s">
        <v>16</v>
      </c>
      <c r="M6" s="29" t="s">
        <v>17</v>
      </c>
      <c r="N6" s="30" t="s">
        <v>18</v>
      </c>
      <c r="O6" s="31" t="s">
        <v>19</v>
      </c>
      <c r="P6" s="32" t="s">
        <v>20</v>
      </c>
      <c r="Q6" s="31" t="s">
        <v>21</v>
      </c>
      <c r="R6" s="40" t="s">
        <v>22</v>
      </c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</row>
    <row r="7" ht="20" customHeight="1" spans="1:18">
      <c r="A7" s="10">
        <v>1</v>
      </c>
      <c r="B7" s="17" t="s">
        <v>23</v>
      </c>
      <c r="C7" s="10" t="s">
        <v>24</v>
      </c>
      <c r="D7" s="18" t="s">
        <v>25</v>
      </c>
      <c r="E7" s="10" t="s">
        <v>24</v>
      </c>
      <c r="F7" s="18" t="s">
        <v>25</v>
      </c>
      <c r="G7" s="10" t="s">
        <v>24</v>
      </c>
      <c r="H7" s="18" t="s">
        <v>25</v>
      </c>
      <c r="I7" s="33">
        <f>20+20+20</f>
        <v>60</v>
      </c>
      <c r="J7" s="33">
        <f>16+30+28</f>
        <v>74</v>
      </c>
      <c r="K7" s="18">
        <f>5+5+5</f>
        <v>15</v>
      </c>
      <c r="L7" s="33">
        <f>6+9+6</f>
        <v>21</v>
      </c>
      <c r="M7" s="18">
        <v>0</v>
      </c>
      <c r="N7" s="34">
        <f>20*3</f>
        <v>60</v>
      </c>
      <c r="O7" s="35">
        <f>SUM(I7:N7)</f>
        <v>230</v>
      </c>
      <c r="P7" s="35">
        <f t="shared" ref="P7:P9" si="0">O7/3</f>
        <v>76.6666666666667</v>
      </c>
      <c r="Q7" s="18">
        <f>RANK(O7,$O$7:$O$9)</f>
        <v>1</v>
      </c>
      <c r="R7" s="42" t="s">
        <v>26</v>
      </c>
    </row>
    <row r="8" ht="20" customHeight="1" spans="1:244">
      <c r="A8" s="10">
        <v>2</v>
      </c>
      <c r="B8" s="19" t="s">
        <v>27</v>
      </c>
      <c r="C8" s="10" t="s">
        <v>24</v>
      </c>
      <c r="D8" s="18" t="s">
        <v>25</v>
      </c>
      <c r="E8" s="10" t="s">
        <v>24</v>
      </c>
      <c r="F8" s="18" t="s">
        <v>25</v>
      </c>
      <c r="G8" s="10" t="s">
        <v>24</v>
      </c>
      <c r="H8" s="18" t="s">
        <v>25</v>
      </c>
      <c r="I8" s="33">
        <f>20+20+20</f>
        <v>60</v>
      </c>
      <c r="J8" s="33">
        <f>18+26+28</f>
        <v>72</v>
      </c>
      <c r="K8" s="18">
        <v>0</v>
      </c>
      <c r="L8" s="33">
        <f t="shared" ref="L8:L14" si="1">6+6+6</f>
        <v>18</v>
      </c>
      <c r="M8" s="18">
        <v>0</v>
      </c>
      <c r="N8" s="34">
        <f>19.97*3</f>
        <v>59.91</v>
      </c>
      <c r="O8" s="35">
        <f>SUM(I8:N8)</f>
        <v>209.91</v>
      </c>
      <c r="P8" s="35">
        <f t="shared" si="0"/>
        <v>69.97</v>
      </c>
      <c r="Q8" s="18">
        <f>RANK(O8,$O$7:$O$9)</f>
        <v>2</v>
      </c>
      <c r="R8" s="42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</row>
    <row r="9" ht="20" customHeight="1" spans="1:244">
      <c r="A9" s="10">
        <v>3</v>
      </c>
      <c r="B9" s="20" t="s">
        <v>28</v>
      </c>
      <c r="C9" s="10" t="s">
        <v>24</v>
      </c>
      <c r="D9" s="18" t="s">
        <v>25</v>
      </c>
      <c r="E9" s="10" t="s">
        <v>24</v>
      </c>
      <c r="F9" s="18" t="s">
        <v>25</v>
      </c>
      <c r="G9" s="10" t="s">
        <v>24</v>
      </c>
      <c r="H9" s="18" t="s">
        <v>25</v>
      </c>
      <c r="I9" s="33">
        <f>20+20+20</f>
        <v>60</v>
      </c>
      <c r="J9" s="33">
        <f>14+24+28</f>
        <v>66</v>
      </c>
      <c r="K9" s="18">
        <v>0</v>
      </c>
      <c r="L9" s="33">
        <f t="shared" si="1"/>
        <v>18</v>
      </c>
      <c r="M9" s="18">
        <v>0</v>
      </c>
      <c r="N9" s="34">
        <f>19.96*3</f>
        <v>59.88</v>
      </c>
      <c r="O9" s="35">
        <f>SUM(I9:N9)</f>
        <v>203.88</v>
      </c>
      <c r="P9" s="35">
        <f t="shared" si="0"/>
        <v>67.96</v>
      </c>
      <c r="Q9" s="18">
        <f>RANK(O9,$O$7:$O$9)</f>
        <v>3</v>
      </c>
      <c r="R9" s="42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s="1" customFormat="1" ht="20" customHeight="1" spans="1:18">
      <c r="A10" s="14" t="s">
        <v>29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39"/>
    </row>
    <row r="11" s="2" customFormat="1" ht="60" customHeight="1" spans="1:244">
      <c r="A11" s="16" t="s">
        <v>7</v>
      </c>
      <c r="B11" s="16" t="s">
        <v>8</v>
      </c>
      <c r="C11" s="16" t="s">
        <v>9</v>
      </c>
      <c r="D11" s="16" t="s">
        <v>10</v>
      </c>
      <c r="E11" s="16" t="s">
        <v>11</v>
      </c>
      <c r="F11" s="16" t="s">
        <v>10</v>
      </c>
      <c r="G11" s="16" t="s">
        <v>9</v>
      </c>
      <c r="H11" s="16" t="s">
        <v>10</v>
      </c>
      <c r="I11" s="28" t="s">
        <v>13</v>
      </c>
      <c r="J11" s="28" t="s">
        <v>14</v>
      </c>
      <c r="K11" s="28" t="s">
        <v>15</v>
      </c>
      <c r="L11" s="28" t="s">
        <v>16</v>
      </c>
      <c r="M11" s="29" t="s">
        <v>17</v>
      </c>
      <c r="N11" s="30" t="s">
        <v>18</v>
      </c>
      <c r="O11" s="31" t="s">
        <v>19</v>
      </c>
      <c r="P11" s="32" t="s">
        <v>20</v>
      </c>
      <c r="Q11" s="31" t="s">
        <v>21</v>
      </c>
      <c r="R11" s="40" t="s">
        <v>22</v>
      </c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</row>
    <row r="12" ht="20" customHeight="1" spans="1:18">
      <c r="A12" s="10">
        <v>1</v>
      </c>
      <c r="B12" s="19" t="s">
        <v>30</v>
      </c>
      <c r="C12" s="10" t="s">
        <v>24</v>
      </c>
      <c r="D12" s="18" t="s">
        <v>25</v>
      </c>
      <c r="E12" s="10" t="s">
        <v>24</v>
      </c>
      <c r="F12" s="18" t="s">
        <v>25</v>
      </c>
      <c r="G12" s="10" t="s">
        <v>24</v>
      </c>
      <c r="H12" s="18" t="s">
        <v>25</v>
      </c>
      <c r="I12" s="33">
        <f>20+20+20</f>
        <v>60</v>
      </c>
      <c r="J12" s="33">
        <f>20+30+26</f>
        <v>76</v>
      </c>
      <c r="K12" s="18">
        <f>5+5+5</f>
        <v>15</v>
      </c>
      <c r="L12" s="33">
        <f>6+9+6</f>
        <v>21</v>
      </c>
      <c r="M12" s="18">
        <v>0</v>
      </c>
      <c r="N12" s="34">
        <f>20*3</f>
        <v>60</v>
      </c>
      <c r="O12" s="35">
        <f>SUM(I12:N12)</f>
        <v>232</v>
      </c>
      <c r="P12" s="35">
        <f t="shared" ref="P12:P14" si="2">O12/3</f>
        <v>77.3333333333333</v>
      </c>
      <c r="Q12" s="18">
        <f>RANK(O12,$O$12:$O$14)</f>
        <v>1</v>
      </c>
      <c r="R12" s="42" t="s">
        <v>31</v>
      </c>
    </row>
    <row r="13" ht="20" customHeight="1" spans="1:244">
      <c r="A13" s="10">
        <v>2</v>
      </c>
      <c r="B13" s="17" t="s">
        <v>32</v>
      </c>
      <c r="C13" s="10" t="s">
        <v>24</v>
      </c>
      <c r="D13" s="18" t="s">
        <v>25</v>
      </c>
      <c r="E13" s="10" t="s">
        <v>24</v>
      </c>
      <c r="F13" s="18" t="s">
        <v>25</v>
      </c>
      <c r="G13" s="10" t="s">
        <v>24</v>
      </c>
      <c r="H13" s="18" t="s">
        <v>25</v>
      </c>
      <c r="I13" s="33">
        <f>20+20+20</f>
        <v>60</v>
      </c>
      <c r="J13" s="33">
        <f>14+24+26</f>
        <v>64</v>
      </c>
      <c r="K13" s="18">
        <v>0</v>
      </c>
      <c r="L13" s="33">
        <f t="shared" si="1"/>
        <v>18</v>
      </c>
      <c r="M13" s="18">
        <v>0</v>
      </c>
      <c r="N13" s="34">
        <f>19.85*3</f>
        <v>59.55</v>
      </c>
      <c r="O13" s="35">
        <f>SUM(I13:N13)</f>
        <v>201.55</v>
      </c>
      <c r="P13" s="35">
        <f t="shared" si="2"/>
        <v>67.1833333333333</v>
      </c>
      <c r="Q13" s="18">
        <f>RANK(O13,$O$12:$O$14)</f>
        <v>3</v>
      </c>
      <c r="R13" s="42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ht="20" customHeight="1" spans="1:244">
      <c r="A14" s="10">
        <v>3</v>
      </c>
      <c r="B14" s="20" t="s">
        <v>33</v>
      </c>
      <c r="C14" s="10" t="s">
        <v>24</v>
      </c>
      <c r="D14" s="18" t="s">
        <v>25</v>
      </c>
      <c r="E14" s="10" t="s">
        <v>24</v>
      </c>
      <c r="F14" s="18" t="s">
        <v>25</v>
      </c>
      <c r="G14" s="10" t="s">
        <v>24</v>
      </c>
      <c r="H14" s="18" t="s">
        <v>25</v>
      </c>
      <c r="I14" s="33">
        <f>20+20+20</f>
        <v>60</v>
      </c>
      <c r="J14" s="33">
        <f>16+26+26</f>
        <v>68</v>
      </c>
      <c r="K14" s="18">
        <v>0</v>
      </c>
      <c r="L14" s="33">
        <f t="shared" si="1"/>
        <v>18</v>
      </c>
      <c r="M14" s="18">
        <v>0</v>
      </c>
      <c r="N14" s="34">
        <f>19.87*3</f>
        <v>59.61</v>
      </c>
      <c r="O14" s="35">
        <f>SUM(I14:N14)</f>
        <v>205.61</v>
      </c>
      <c r="P14" s="35">
        <f t="shared" si="2"/>
        <v>68.5366666666667</v>
      </c>
      <c r="Q14" s="18">
        <f>RANK(O14,$O$12:$O$14)</f>
        <v>2</v>
      </c>
      <c r="R14" s="42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="1" customFormat="1" ht="20" customHeight="1" spans="1:18">
      <c r="A15" s="14" t="s">
        <v>34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39"/>
    </row>
    <row r="16" s="2" customFormat="1" ht="60" customHeight="1" spans="1:244">
      <c r="A16" s="16" t="s">
        <v>7</v>
      </c>
      <c r="B16" s="16" t="s">
        <v>8</v>
      </c>
      <c r="C16" s="16" t="s">
        <v>9</v>
      </c>
      <c r="D16" s="16" t="s">
        <v>10</v>
      </c>
      <c r="E16" s="16" t="s">
        <v>11</v>
      </c>
      <c r="F16" s="16" t="s">
        <v>10</v>
      </c>
      <c r="G16" s="16" t="s">
        <v>9</v>
      </c>
      <c r="H16" s="16" t="s">
        <v>10</v>
      </c>
      <c r="I16" s="28" t="s">
        <v>13</v>
      </c>
      <c r="J16" s="28" t="s">
        <v>14</v>
      </c>
      <c r="K16" s="28" t="s">
        <v>15</v>
      </c>
      <c r="L16" s="28" t="s">
        <v>16</v>
      </c>
      <c r="M16" s="29" t="s">
        <v>17</v>
      </c>
      <c r="N16" s="30" t="s">
        <v>18</v>
      </c>
      <c r="O16" s="31" t="s">
        <v>19</v>
      </c>
      <c r="P16" s="32" t="s">
        <v>20</v>
      </c>
      <c r="Q16" s="31" t="s">
        <v>21</v>
      </c>
      <c r="R16" s="40" t="s">
        <v>22</v>
      </c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</row>
    <row r="17" ht="20" customHeight="1" spans="1:18">
      <c r="A17" s="10">
        <v>1</v>
      </c>
      <c r="B17" s="21" t="s">
        <v>35</v>
      </c>
      <c r="C17" s="10" t="s">
        <v>24</v>
      </c>
      <c r="D17" s="18" t="s">
        <v>25</v>
      </c>
      <c r="E17" s="10" t="s">
        <v>24</v>
      </c>
      <c r="F17" s="18" t="s">
        <v>25</v>
      </c>
      <c r="G17" s="10" t="s">
        <v>24</v>
      </c>
      <c r="H17" s="18" t="s">
        <v>25</v>
      </c>
      <c r="I17" s="33">
        <f t="shared" ref="I17:I24" si="3">20+20+20</f>
        <v>60</v>
      </c>
      <c r="J17" s="33">
        <f>18+28+28</f>
        <v>74</v>
      </c>
      <c r="K17" s="18">
        <f>15+15+15</f>
        <v>45</v>
      </c>
      <c r="L17" s="33">
        <f>9+9+6</f>
        <v>24</v>
      </c>
      <c r="M17" s="18">
        <v>0</v>
      </c>
      <c r="N17" s="34">
        <f>20*3</f>
        <v>60</v>
      </c>
      <c r="O17" s="35">
        <f>SUM(I17:N17)</f>
        <v>263</v>
      </c>
      <c r="P17" s="35">
        <f t="shared" ref="P17:P19" si="4">O17/3</f>
        <v>87.6666666666667</v>
      </c>
      <c r="Q17" s="18">
        <f>RANK(O17,$O$17:$O$19)</f>
        <v>1</v>
      </c>
      <c r="R17" s="42" t="s">
        <v>36</v>
      </c>
    </row>
    <row r="18" ht="20" customHeight="1" spans="1:244">
      <c r="A18" s="10">
        <v>2</v>
      </c>
      <c r="B18" s="22" t="s">
        <v>37</v>
      </c>
      <c r="C18" s="10" t="s">
        <v>24</v>
      </c>
      <c r="D18" s="18" t="s">
        <v>25</v>
      </c>
      <c r="E18" s="10" t="s">
        <v>24</v>
      </c>
      <c r="F18" s="18" t="s">
        <v>25</v>
      </c>
      <c r="G18" s="10" t="s">
        <v>24</v>
      </c>
      <c r="H18" s="18" t="s">
        <v>25</v>
      </c>
      <c r="I18" s="33">
        <f t="shared" si="3"/>
        <v>60</v>
      </c>
      <c r="J18" s="33">
        <f>12+28+28</f>
        <v>68</v>
      </c>
      <c r="K18" s="18">
        <v>0</v>
      </c>
      <c r="L18" s="33">
        <f>6+6+6</f>
        <v>18</v>
      </c>
      <c r="M18" s="18">
        <v>0</v>
      </c>
      <c r="N18" s="34">
        <f>19.94*3</f>
        <v>59.82</v>
      </c>
      <c r="O18" s="35">
        <f>SUM(I18:N18)</f>
        <v>205.82</v>
      </c>
      <c r="P18" s="35">
        <f t="shared" si="4"/>
        <v>68.6066666666667</v>
      </c>
      <c r="Q18" s="18">
        <f>RANK(O18,$O$17:$O$19)</f>
        <v>3</v>
      </c>
      <c r="R18" s="42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ht="30" customHeight="1" spans="1:244">
      <c r="A19" s="10">
        <v>3</v>
      </c>
      <c r="B19" s="23" t="s">
        <v>38</v>
      </c>
      <c r="C19" s="10" t="s">
        <v>24</v>
      </c>
      <c r="D19" s="18" t="s">
        <v>25</v>
      </c>
      <c r="E19" s="10" t="s">
        <v>24</v>
      </c>
      <c r="F19" s="18" t="s">
        <v>25</v>
      </c>
      <c r="G19" s="10" t="s">
        <v>24</v>
      </c>
      <c r="H19" s="18" t="s">
        <v>25</v>
      </c>
      <c r="I19" s="33">
        <f t="shared" si="3"/>
        <v>60</v>
      </c>
      <c r="J19" s="33">
        <f>14+26+28</f>
        <v>68</v>
      </c>
      <c r="K19" s="18">
        <v>0</v>
      </c>
      <c r="L19" s="33">
        <f>6+6+6</f>
        <v>18</v>
      </c>
      <c r="M19" s="18">
        <v>0</v>
      </c>
      <c r="N19" s="34">
        <f>19.97*3</f>
        <v>59.91</v>
      </c>
      <c r="O19" s="35">
        <f>SUM(I19:N19)</f>
        <v>205.91</v>
      </c>
      <c r="P19" s="35">
        <f t="shared" si="4"/>
        <v>68.6366666666667</v>
      </c>
      <c r="Q19" s="18">
        <f>RANK(O19,$O$17:$O$19)</f>
        <v>2</v>
      </c>
      <c r="R19" s="42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="1" customFormat="1" ht="20" customHeight="1" spans="1:18">
      <c r="A20" s="14" t="s">
        <v>39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39"/>
    </row>
    <row r="21" s="2" customFormat="1" ht="60" customHeight="1" spans="1:244">
      <c r="A21" s="16" t="s">
        <v>7</v>
      </c>
      <c r="B21" s="16" t="s">
        <v>8</v>
      </c>
      <c r="C21" s="16" t="s">
        <v>9</v>
      </c>
      <c r="D21" s="16" t="s">
        <v>10</v>
      </c>
      <c r="E21" s="16" t="s">
        <v>11</v>
      </c>
      <c r="F21" s="16" t="s">
        <v>10</v>
      </c>
      <c r="G21" s="16" t="s">
        <v>9</v>
      </c>
      <c r="H21" s="16" t="s">
        <v>10</v>
      </c>
      <c r="I21" s="28" t="s">
        <v>13</v>
      </c>
      <c r="J21" s="28" t="s">
        <v>14</v>
      </c>
      <c r="K21" s="28" t="s">
        <v>15</v>
      </c>
      <c r="L21" s="28" t="s">
        <v>16</v>
      </c>
      <c r="M21" s="29" t="s">
        <v>17</v>
      </c>
      <c r="N21" s="30" t="s">
        <v>18</v>
      </c>
      <c r="O21" s="31" t="s">
        <v>19</v>
      </c>
      <c r="P21" s="32" t="s">
        <v>20</v>
      </c>
      <c r="Q21" s="31" t="s">
        <v>21</v>
      </c>
      <c r="R21" s="40" t="s">
        <v>22</v>
      </c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</row>
    <row r="22" ht="20" customHeight="1" spans="1:18">
      <c r="A22" s="10">
        <v>1</v>
      </c>
      <c r="B22" s="19" t="s">
        <v>40</v>
      </c>
      <c r="C22" s="10" t="s">
        <v>24</v>
      </c>
      <c r="D22" s="18" t="s">
        <v>25</v>
      </c>
      <c r="E22" s="10" t="s">
        <v>24</v>
      </c>
      <c r="F22" s="18" t="s">
        <v>25</v>
      </c>
      <c r="G22" s="10" t="s">
        <v>24</v>
      </c>
      <c r="H22" s="18" t="s">
        <v>25</v>
      </c>
      <c r="I22" s="33">
        <f t="shared" si="3"/>
        <v>60</v>
      </c>
      <c r="J22" s="33">
        <f>22+28+28</f>
        <v>78</v>
      </c>
      <c r="K22" s="18">
        <f>10+10+10</f>
        <v>30</v>
      </c>
      <c r="L22" s="33">
        <f>6+9+6</f>
        <v>21</v>
      </c>
      <c r="M22" s="18">
        <v>0</v>
      </c>
      <c r="N22" s="34">
        <f>18.04*3</f>
        <v>54.12</v>
      </c>
      <c r="O22" s="35">
        <f>SUM(I22:N22)</f>
        <v>243.12</v>
      </c>
      <c r="P22" s="35">
        <f t="shared" ref="P22:P24" si="5">O22/3</f>
        <v>81.04</v>
      </c>
      <c r="Q22" s="18">
        <f>RANK(O22,$O$22:$O$24)</f>
        <v>1</v>
      </c>
      <c r="R22" s="42" t="s">
        <v>41</v>
      </c>
    </row>
    <row r="23" ht="20" customHeight="1" spans="1:244">
      <c r="A23" s="10">
        <v>2</v>
      </c>
      <c r="B23" s="17" t="s">
        <v>42</v>
      </c>
      <c r="C23" s="10" t="s">
        <v>24</v>
      </c>
      <c r="D23" s="18" t="s">
        <v>25</v>
      </c>
      <c r="E23" s="10" t="s">
        <v>24</v>
      </c>
      <c r="F23" s="18" t="s">
        <v>25</v>
      </c>
      <c r="G23" s="10" t="s">
        <v>24</v>
      </c>
      <c r="H23" s="18" t="s">
        <v>25</v>
      </c>
      <c r="I23" s="33">
        <f t="shared" si="3"/>
        <v>60</v>
      </c>
      <c r="J23" s="33">
        <f>18+26+28</f>
        <v>72</v>
      </c>
      <c r="K23" s="18">
        <f>5+5+5</f>
        <v>15</v>
      </c>
      <c r="L23" s="33">
        <f>6+6+6</f>
        <v>18</v>
      </c>
      <c r="M23" s="18">
        <v>0</v>
      </c>
      <c r="N23" s="34">
        <f>19.99*3</f>
        <v>59.97</v>
      </c>
      <c r="O23" s="35">
        <f>SUM(I23:N23)</f>
        <v>224.97</v>
      </c>
      <c r="P23" s="35">
        <f t="shared" si="5"/>
        <v>74.99</v>
      </c>
      <c r="Q23" s="18">
        <f>RANK(O23,$O$22:$O$24)</f>
        <v>3</v>
      </c>
      <c r="R23" s="42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ht="20" customHeight="1" spans="1:244">
      <c r="A24" s="10">
        <v>3</v>
      </c>
      <c r="B24" s="20" t="s">
        <v>43</v>
      </c>
      <c r="C24" s="10" t="s">
        <v>24</v>
      </c>
      <c r="D24" s="18" t="s">
        <v>25</v>
      </c>
      <c r="E24" s="10" t="s">
        <v>24</v>
      </c>
      <c r="F24" s="18" t="s">
        <v>25</v>
      </c>
      <c r="G24" s="10" t="s">
        <v>24</v>
      </c>
      <c r="H24" s="18" t="s">
        <v>25</v>
      </c>
      <c r="I24" s="33">
        <f t="shared" si="3"/>
        <v>60</v>
      </c>
      <c r="J24" s="33">
        <f>16+24+28</f>
        <v>68</v>
      </c>
      <c r="K24" s="18">
        <f>10+10+10</f>
        <v>30</v>
      </c>
      <c r="L24" s="33">
        <f>6+6+6</f>
        <v>18</v>
      </c>
      <c r="M24" s="18">
        <v>0</v>
      </c>
      <c r="N24" s="34">
        <f>20*3</f>
        <v>60</v>
      </c>
      <c r="O24" s="35">
        <f>SUM(I24:N24)</f>
        <v>236</v>
      </c>
      <c r="P24" s="35">
        <f t="shared" si="5"/>
        <v>78.6666666666667</v>
      </c>
      <c r="Q24" s="18">
        <f>RANK(O24,$O$22:$O$24)</f>
        <v>2</v>
      </c>
      <c r="R24" s="42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="1" customFormat="1" ht="20" customHeight="1" spans="1:18">
      <c r="A25" s="14" t="s">
        <v>44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9"/>
    </row>
    <row r="26" s="2" customFormat="1" ht="60" customHeight="1" spans="1:244">
      <c r="A26" s="16" t="s">
        <v>7</v>
      </c>
      <c r="B26" s="16" t="s">
        <v>8</v>
      </c>
      <c r="C26" s="16" t="s">
        <v>9</v>
      </c>
      <c r="D26" s="16" t="s">
        <v>10</v>
      </c>
      <c r="E26" s="16" t="s">
        <v>11</v>
      </c>
      <c r="F26" s="16" t="s">
        <v>10</v>
      </c>
      <c r="G26" s="16" t="s">
        <v>9</v>
      </c>
      <c r="H26" s="16" t="s">
        <v>10</v>
      </c>
      <c r="I26" s="28" t="s">
        <v>45</v>
      </c>
      <c r="J26" s="28" t="s">
        <v>14</v>
      </c>
      <c r="K26" s="28" t="s">
        <v>15</v>
      </c>
      <c r="L26" s="28" t="s">
        <v>16</v>
      </c>
      <c r="M26" s="29" t="s">
        <v>17</v>
      </c>
      <c r="N26" s="30" t="s">
        <v>18</v>
      </c>
      <c r="O26" s="31" t="s">
        <v>19</v>
      </c>
      <c r="P26" s="32" t="s">
        <v>20</v>
      </c>
      <c r="Q26" s="31" t="s">
        <v>21</v>
      </c>
      <c r="R26" s="40" t="s">
        <v>22</v>
      </c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</row>
    <row r="27" ht="20" customHeight="1" spans="1:18">
      <c r="A27" s="10">
        <v>1</v>
      </c>
      <c r="B27" s="19" t="s">
        <v>46</v>
      </c>
      <c r="C27" s="10" t="s">
        <v>24</v>
      </c>
      <c r="D27" s="18" t="s">
        <v>25</v>
      </c>
      <c r="E27" s="10" t="s">
        <v>24</v>
      </c>
      <c r="F27" s="18" t="s">
        <v>25</v>
      </c>
      <c r="G27" s="10" t="s">
        <v>24</v>
      </c>
      <c r="H27" s="18" t="s">
        <v>25</v>
      </c>
      <c r="I27" s="33">
        <f t="shared" ref="I27:I29" si="6">20+20+20</f>
        <v>60</v>
      </c>
      <c r="J27" s="33">
        <f>22+28+26</f>
        <v>76</v>
      </c>
      <c r="K27" s="18">
        <f t="shared" ref="K27:K32" si="7">15+15+15</f>
        <v>45</v>
      </c>
      <c r="L27" s="33">
        <f>5+5+5</f>
        <v>15</v>
      </c>
      <c r="M27" s="18">
        <v>0</v>
      </c>
      <c r="N27" s="34">
        <f>19.91*3</f>
        <v>59.73</v>
      </c>
      <c r="O27" s="35">
        <f>SUM(I27:N27)</f>
        <v>255.73</v>
      </c>
      <c r="P27" s="35">
        <f t="shared" ref="P27:P29" si="8">O27/3</f>
        <v>85.2433333333333</v>
      </c>
      <c r="Q27" s="18">
        <f>RANK(O27,$O$27:$O$29)</f>
        <v>2</v>
      </c>
      <c r="R27" s="42" t="s">
        <v>47</v>
      </c>
    </row>
    <row r="28" ht="20" customHeight="1" spans="1:244">
      <c r="A28" s="10">
        <v>2</v>
      </c>
      <c r="B28" s="17" t="s">
        <v>48</v>
      </c>
      <c r="C28" s="10" t="s">
        <v>24</v>
      </c>
      <c r="D28" s="18" t="s">
        <v>25</v>
      </c>
      <c r="E28" s="10" t="s">
        <v>24</v>
      </c>
      <c r="F28" s="18" t="s">
        <v>25</v>
      </c>
      <c r="G28" s="10" t="s">
        <v>24</v>
      </c>
      <c r="H28" s="18" t="s">
        <v>25</v>
      </c>
      <c r="I28" s="33">
        <f t="shared" si="6"/>
        <v>60</v>
      </c>
      <c r="J28" s="33">
        <f>24+28+26</f>
        <v>78</v>
      </c>
      <c r="K28" s="18">
        <v>0</v>
      </c>
      <c r="L28" s="33">
        <f>5+7.5+5</f>
        <v>17.5</v>
      </c>
      <c r="M28" s="18">
        <v>0</v>
      </c>
      <c r="N28" s="34">
        <f>20*3</f>
        <v>60</v>
      </c>
      <c r="O28" s="35">
        <f>SUM(I28:N28)</f>
        <v>215.5</v>
      </c>
      <c r="P28" s="35">
        <f t="shared" si="8"/>
        <v>71.8333333333333</v>
      </c>
      <c r="Q28" s="18">
        <f>RANK(O28,$O$27:$O$29)</f>
        <v>3</v>
      </c>
      <c r="R28" s="42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ht="20" customHeight="1" spans="1:244">
      <c r="A29" s="10">
        <v>3</v>
      </c>
      <c r="B29" s="20" t="s">
        <v>49</v>
      </c>
      <c r="C29" s="10" t="s">
        <v>24</v>
      </c>
      <c r="D29" s="18" t="s">
        <v>25</v>
      </c>
      <c r="E29" s="10" t="s">
        <v>24</v>
      </c>
      <c r="F29" s="18" t="s">
        <v>25</v>
      </c>
      <c r="G29" s="10" t="s">
        <v>24</v>
      </c>
      <c r="H29" s="18" t="s">
        <v>25</v>
      </c>
      <c r="I29" s="33">
        <f t="shared" si="6"/>
        <v>60</v>
      </c>
      <c r="J29" s="33">
        <f>26+32+26</f>
        <v>84</v>
      </c>
      <c r="K29" s="18">
        <f t="shared" si="7"/>
        <v>45</v>
      </c>
      <c r="L29" s="33">
        <f>7.5+10+7.5</f>
        <v>25</v>
      </c>
      <c r="M29" s="18">
        <v>0</v>
      </c>
      <c r="N29" s="34">
        <f>18.07*3</f>
        <v>54.21</v>
      </c>
      <c r="O29" s="35">
        <f>SUM(I29:N29)</f>
        <v>268.21</v>
      </c>
      <c r="P29" s="35">
        <f t="shared" si="8"/>
        <v>89.4033333333333</v>
      </c>
      <c r="Q29" s="18">
        <f>RANK(O29,$O$27:$O$29)</f>
        <v>1</v>
      </c>
      <c r="R29" s="42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="1" customFormat="1" ht="20" customHeight="1" spans="1:18">
      <c r="A30" s="14" t="s">
        <v>50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39"/>
    </row>
    <row r="31" s="2" customFormat="1" ht="60" customHeight="1" spans="1:244">
      <c r="A31" s="16" t="s">
        <v>7</v>
      </c>
      <c r="B31" s="16" t="s">
        <v>8</v>
      </c>
      <c r="C31" s="16" t="s">
        <v>9</v>
      </c>
      <c r="D31" s="16" t="s">
        <v>10</v>
      </c>
      <c r="E31" s="16" t="s">
        <v>11</v>
      </c>
      <c r="F31" s="16" t="s">
        <v>10</v>
      </c>
      <c r="G31" s="16" t="s">
        <v>9</v>
      </c>
      <c r="H31" s="16" t="s">
        <v>10</v>
      </c>
      <c r="I31" s="28" t="s">
        <v>13</v>
      </c>
      <c r="J31" s="28" t="s">
        <v>14</v>
      </c>
      <c r="K31" s="28" t="s">
        <v>15</v>
      </c>
      <c r="L31" s="28" t="s">
        <v>16</v>
      </c>
      <c r="M31" s="29" t="s">
        <v>17</v>
      </c>
      <c r="N31" s="30" t="s">
        <v>18</v>
      </c>
      <c r="O31" s="31" t="s">
        <v>19</v>
      </c>
      <c r="P31" s="32" t="s">
        <v>20</v>
      </c>
      <c r="Q31" s="31" t="s">
        <v>21</v>
      </c>
      <c r="R31" s="40" t="s">
        <v>22</v>
      </c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</row>
    <row r="32" ht="20" customHeight="1" spans="1:18">
      <c r="A32" s="10">
        <v>1</v>
      </c>
      <c r="B32" s="17" t="s">
        <v>51</v>
      </c>
      <c r="C32" s="10" t="s">
        <v>24</v>
      </c>
      <c r="D32" s="18" t="s">
        <v>25</v>
      </c>
      <c r="E32" s="10" t="s">
        <v>24</v>
      </c>
      <c r="F32" s="18" t="s">
        <v>25</v>
      </c>
      <c r="G32" s="10" t="s">
        <v>24</v>
      </c>
      <c r="H32" s="18" t="s">
        <v>25</v>
      </c>
      <c r="I32" s="33">
        <f t="shared" ref="I32:I34" si="9">20+20+20</f>
        <v>60</v>
      </c>
      <c r="J32" s="33">
        <f>22+30+26</f>
        <v>78</v>
      </c>
      <c r="K32" s="18">
        <f t="shared" si="7"/>
        <v>45</v>
      </c>
      <c r="L32" s="33">
        <f>6+9+6</f>
        <v>21</v>
      </c>
      <c r="M32" s="18">
        <v>0</v>
      </c>
      <c r="N32" s="34">
        <f>20*3</f>
        <v>60</v>
      </c>
      <c r="O32" s="35">
        <f>SUM(I32:N32)</f>
        <v>264</v>
      </c>
      <c r="P32" s="35">
        <f t="shared" ref="P32:P34" si="10">O32/3</f>
        <v>88</v>
      </c>
      <c r="Q32" s="18">
        <f>RANK(O32,$O$32:$O$34)</f>
        <v>1</v>
      </c>
      <c r="R32" s="42" t="s">
        <v>52</v>
      </c>
    </row>
    <row r="33" ht="20" customHeight="1" spans="1:244">
      <c r="A33" s="10">
        <v>2</v>
      </c>
      <c r="B33" s="19" t="s">
        <v>53</v>
      </c>
      <c r="C33" s="10" t="s">
        <v>24</v>
      </c>
      <c r="D33" s="18" t="s">
        <v>25</v>
      </c>
      <c r="E33" s="10" t="s">
        <v>24</v>
      </c>
      <c r="F33" s="18" t="s">
        <v>25</v>
      </c>
      <c r="G33" s="10" t="s">
        <v>24</v>
      </c>
      <c r="H33" s="18" t="s">
        <v>25</v>
      </c>
      <c r="I33" s="33">
        <f t="shared" si="9"/>
        <v>60</v>
      </c>
      <c r="J33" s="33">
        <f>14+26+18</f>
        <v>58</v>
      </c>
      <c r="K33" s="18">
        <f>10+10+10</f>
        <v>30</v>
      </c>
      <c r="L33" s="33">
        <f>3+3+6</f>
        <v>12</v>
      </c>
      <c r="M33" s="18">
        <v>0</v>
      </c>
      <c r="N33" s="34">
        <f>17.97*3</f>
        <v>53.91</v>
      </c>
      <c r="O33" s="35">
        <f>SUM(I33:N33)</f>
        <v>213.91</v>
      </c>
      <c r="P33" s="35">
        <f t="shared" si="10"/>
        <v>71.3033333333333</v>
      </c>
      <c r="Q33" s="18">
        <f>RANK(O33,$O$32:$O$34)</f>
        <v>3</v>
      </c>
      <c r="R33" s="42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ht="20" customHeight="1" spans="1:244">
      <c r="A34" s="10">
        <v>3</v>
      </c>
      <c r="B34" s="20" t="s">
        <v>54</v>
      </c>
      <c r="C34" s="10" t="s">
        <v>24</v>
      </c>
      <c r="D34" s="18" t="s">
        <v>25</v>
      </c>
      <c r="E34" s="10" t="s">
        <v>24</v>
      </c>
      <c r="F34" s="18" t="s">
        <v>25</v>
      </c>
      <c r="G34" s="10" t="s">
        <v>24</v>
      </c>
      <c r="H34" s="18" t="s">
        <v>25</v>
      </c>
      <c r="I34" s="33">
        <f t="shared" si="9"/>
        <v>60</v>
      </c>
      <c r="J34" s="33">
        <f>12+28+18</f>
        <v>58</v>
      </c>
      <c r="K34" s="18">
        <f>15+15+15</f>
        <v>45</v>
      </c>
      <c r="L34" s="33">
        <f>3+3+6</f>
        <v>12</v>
      </c>
      <c r="M34" s="18">
        <v>0</v>
      </c>
      <c r="N34" s="34">
        <f>17.92*3</f>
        <v>53.76</v>
      </c>
      <c r="O34" s="35">
        <f>SUM(I34:N34)</f>
        <v>228.76</v>
      </c>
      <c r="P34" s="35">
        <f t="shared" si="10"/>
        <v>76.2533333333333</v>
      </c>
      <c r="Q34" s="18">
        <f>RANK(O34,$O$32:$O$34)</f>
        <v>2</v>
      </c>
      <c r="R34" s="42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  <row r="35" s="1" customFormat="1" ht="20" customHeight="1" spans="1:18">
      <c r="A35" s="14" t="s">
        <v>55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39"/>
    </row>
    <row r="36" s="2" customFormat="1" ht="60" customHeight="1" spans="1:244">
      <c r="A36" s="16" t="s">
        <v>7</v>
      </c>
      <c r="B36" s="16" t="s">
        <v>8</v>
      </c>
      <c r="C36" s="16" t="s">
        <v>9</v>
      </c>
      <c r="D36" s="16" t="s">
        <v>10</v>
      </c>
      <c r="E36" s="16" t="s">
        <v>11</v>
      </c>
      <c r="F36" s="16" t="s">
        <v>10</v>
      </c>
      <c r="G36" s="16" t="s">
        <v>9</v>
      </c>
      <c r="H36" s="16" t="s">
        <v>10</v>
      </c>
      <c r="I36" s="28" t="s">
        <v>13</v>
      </c>
      <c r="J36" s="28" t="s">
        <v>14</v>
      </c>
      <c r="K36" s="28" t="s">
        <v>15</v>
      </c>
      <c r="L36" s="28" t="s">
        <v>16</v>
      </c>
      <c r="M36" s="29" t="s">
        <v>17</v>
      </c>
      <c r="N36" s="30" t="s">
        <v>18</v>
      </c>
      <c r="O36" s="31" t="s">
        <v>19</v>
      </c>
      <c r="P36" s="32" t="s">
        <v>20</v>
      </c>
      <c r="Q36" s="31" t="s">
        <v>21</v>
      </c>
      <c r="R36" s="40" t="s">
        <v>22</v>
      </c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</row>
    <row r="37" ht="20" customHeight="1" spans="1:18">
      <c r="A37" s="10">
        <v>1</v>
      </c>
      <c r="B37" s="19" t="s">
        <v>23</v>
      </c>
      <c r="C37" s="10" t="s">
        <v>24</v>
      </c>
      <c r="D37" s="18" t="s">
        <v>25</v>
      </c>
      <c r="E37" s="10" t="s">
        <v>24</v>
      </c>
      <c r="F37" s="18" t="s">
        <v>25</v>
      </c>
      <c r="G37" s="10" t="s">
        <v>24</v>
      </c>
      <c r="H37" s="18" t="s">
        <v>25</v>
      </c>
      <c r="I37" s="33">
        <f t="shared" ref="I37:I39" si="11">20+20+20</f>
        <v>60</v>
      </c>
      <c r="J37" s="33">
        <f>20+28+28</f>
        <v>76</v>
      </c>
      <c r="K37" s="18">
        <f>5+5+5</f>
        <v>15</v>
      </c>
      <c r="L37" s="33">
        <f>6+9+9</f>
        <v>24</v>
      </c>
      <c r="M37" s="18">
        <v>0</v>
      </c>
      <c r="N37" s="34">
        <f>20*3</f>
        <v>60</v>
      </c>
      <c r="O37" s="35">
        <f>SUM(I37:N37)</f>
        <v>235</v>
      </c>
      <c r="P37" s="35">
        <f t="shared" ref="P37:P39" si="12">O37/3</f>
        <v>78.3333333333333</v>
      </c>
      <c r="Q37" s="18">
        <f>RANK(O37,$O$37:$O$39)</f>
        <v>1</v>
      </c>
      <c r="R37" s="42" t="s">
        <v>56</v>
      </c>
    </row>
    <row r="38" ht="20" customHeight="1" spans="1:244">
      <c r="A38" s="10">
        <v>2</v>
      </c>
      <c r="B38" s="17" t="s">
        <v>27</v>
      </c>
      <c r="C38" s="10" t="s">
        <v>24</v>
      </c>
      <c r="D38" s="18" t="s">
        <v>25</v>
      </c>
      <c r="E38" s="10" t="s">
        <v>24</v>
      </c>
      <c r="F38" s="18" t="s">
        <v>25</v>
      </c>
      <c r="G38" s="10" t="s">
        <v>24</v>
      </c>
      <c r="H38" s="18" t="s">
        <v>25</v>
      </c>
      <c r="I38" s="33">
        <f t="shared" si="11"/>
        <v>60</v>
      </c>
      <c r="J38" s="33">
        <f>22+28+28</f>
        <v>78</v>
      </c>
      <c r="K38" s="18">
        <v>0</v>
      </c>
      <c r="L38" s="33">
        <f>6+6+9</f>
        <v>21</v>
      </c>
      <c r="M38" s="18">
        <v>0</v>
      </c>
      <c r="N38" s="34">
        <f>19.99*3</f>
        <v>59.97</v>
      </c>
      <c r="O38" s="35">
        <f>SUM(I38:N38)</f>
        <v>218.97</v>
      </c>
      <c r="P38" s="35">
        <f t="shared" si="12"/>
        <v>72.99</v>
      </c>
      <c r="Q38" s="18">
        <f>RANK(O38,$O$37:$O$39)</f>
        <v>2</v>
      </c>
      <c r="R38" s="42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</row>
    <row r="39" ht="20" customHeight="1" spans="1:244">
      <c r="A39" s="10">
        <v>3</v>
      </c>
      <c r="B39" s="20" t="s">
        <v>57</v>
      </c>
      <c r="C39" s="10" t="s">
        <v>24</v>
      </c>
      <c r="D39" s="18" t="s">
        <v>25</v>
      </c>
      <c r="E39" s="10" t="s">
        <v>24</v>
      </c>
      <c r="F39" s="18" t="s">
        <v>25</v>
      </c>
      <c r="G39" s="10" t="s">
        <v>24</v>
      </c>
      <c r="H39" s="18" t="s">
        <v>25</v>
      </c>
      <c r="I39" s="33">
        <f t="shared" si="11"/>
        <v>60</v>
      </c>
      <c r="J39" s="33">
        <f>18+26+28</f>
        <v>72</v>
      </c>
      <c r="K39" s="18">
        <v>0</v>
      </c>
      <c r="L39" s="33">
        <f>6+6+9</f>
        <v>21</v>
      </c>
      <c r="M39" s="18">
        <v>0</v>
      </c>
      <c r="N39" s="34">
        <f>19.99*3</f>
        <v>59.97</v>
      </c>
      <c r="O39" s="35">
        <f>SUM(I39:N39)</f>
        <v>212.97</v>
      </c>
      <c r="P39" s="35">
        <f t="shared" si="12"/>
        <v>70.99</v>
      </c>
      <c r="Q39" s="18">
        <f>RANK(O39,$O$37:$O$39)</f>
        <v>3</v>
      </c>
      <c r="R39" s="42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</row>
    <row r="40" s="1" customFormat="1" ht="20" customHeight="1" spans="1:18">
      <c r="A40" s="14" t="s">
        <v>58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39"/>
    </row>
    <row r="41" s="2" customFormat="1" ht="60" customHeight="1" spans="1:244">
      <c r="A41" s="16" t="s">
        <v>7</v>
      </c>
      <c r="B41" s="16" t="s">
        <v>8</v>
      </c>
      <c r="C41" s="16" t="s">
        <v>9</v>
      </c>
      <c r="D41" s="16" t="s">
        <v>10</v>
      </c>
      <c r="E41" s="16" t="s">
        <v>11</v>
      </c>
      <c r="F41" s="16" t="s">
        <v>10</v>
      </c>
      <c r="G41" s="16" t="s">
        <v>9</v>
      </c>
      <c r="H41" s="16" t="s">
        <v>10</v>
      </c>
      <c r="I41" s="28" t="s">
        <v>13</v>
      </c>
      <c r="J41" s="28" t="s">
        <v>14</v>
      </c>
      <c r="K41" s="28" t="s">
        <v>15</v>
      </c>
      <c r="L41" s="28" t="s">
        <v>16</v>
      </c>
      <c r="M41" s="29" t="s">
        <v>17</v>
      </c>
      <c r="N41" s="30" t="s">
        <v>18</v>
      </c>
      <c r="O41" s="31" t="s">
        <v>19</v>
      </c>
      <c r="P41" s="32" t="s">
        <v>20</v>
      </c>
      <c r="Q41" s="31" t="s">
        <v>21</v>
      </c>
      <c r="R41" s="40" t="s">
        <v>22</v>
      </c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</row>
    <row r="42" ht="20" customHeight="1" spans="1:18">
      <c r="A42" s="10">
        <v>1</v>
      </c>
      <c r="B42" s="19" t="s">
        <v>23</v>
      </c>
      <c r="C42" s="10" t="s">
        <v>24</v>
      </c>
      <c r="D42" s="18" t="s">
        <v>25</v>
      </c>
      <c r="E42" s="10" t="s">
        <v>24</v>
      </c>
      <c r="F42" s="18" t="s">
        <v>25</v>
      </c>
      <c r="G42" s="10" t="s">
        <v>24</v>
      </c>
      <c r="H42" s="18" t="s">
        <v>25</v>
      </c>
      <c r="I42" s="33">
        <f t="shared" ref="I42:I44" si="13">20+20+20</f>
        <v>60</v>
      </c>
      <c r="J42" s="33">
        <f>22+28+26</f>
        <v>76</v>
      </c>
      <c r="K42" s="18">
        <f>5+5+5</f>
        <v>15</v>
      </c>
      <c r="L42" s="33">
        <f>6+9+9</f>
        <v>24</v>
      </c>
      <c r="M42" s="18">
        <v>0</v>
      </c>
      <c r="N42" s="34">
        <f>20*3</f>
        <v>60</v>
      </c>
      <c r="O42" s="35">
        <f>SUM(I42:N42)</f>
        <v>235</v>
      </c>
      <c r="P42" s="35">
        <f t="shared" ref="P42:P44" si="14">O42/3</f>
        <v>78.3333333333333</v>
      </c>
      <c r="Q42" s="18">
        <f>RANK(O42,$O$42:$O$44)</f>
        <v>1</v>
      </c>
      <c r="R42" s="42" t="s">
        <v>59</v>
      </c>
    </row>
    <row r="43" ht="20" customHeight="1" spans="1:244">
      <c r="A43" s="10">
        <v>2</v>
      </c>
      <c r="B43" s="17" t="s">
        <v>57</v>
      </c>
      <c r="C43" s="10" t="s">
        <v>24</v>
      </c>
      <c r="D43" s="18" t="s">
        <v>25</v>
      </c>
      <c r="E43" s="10" t="s">
        <v>24</v>
      </c>
      <c r="F43" s="18" t="s">
        <v>25</v>
      </c>
      <c r="G43" s="10" t="s">
        <v>24</v>
      </c>
      <c r="H43" s="18" t="s">
        <v>25</v>
      </c>
      <c r="I43" s="33">
        <f t="shared" si="13"/>
        <v>60</v>
      </c>
      <c r="J43" s="33">
        <f>18+26+26</f>
        <v>70</v>
      </c>
      <c r="K43" s="18">
        <v>0</v>
      </c>
      <c r="L43" s="33">
        <f>6+6+9</f>
        <v>21</v>
      </c>
      <c r="M43" s="18">
        <v>0</v>
      </c>
      <c r="N43" s="34">
        <f>19.98*3</f>
        <v>59.94</v>
      </c>
      <c r="O43" s="35">
        <f>SUM(I43:N43)</f>
        <v>210.94</v>
      </c>
      <c r="P43" s="35">
        <f t="shared" si="14"/>
        <v>70.3133333333333</v>
      </c>
      <c r="Q43" s="18">
        <f>RANK(O43,$O$42:$O$44)</f>
        <v>3</v>
      </c>
      <c r="R43" s="42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</row>
    <row r="44" ht="20" customHeight="1" spans="1:244">
      <c r="A44" s="10">
        <v>3</v>
      </c>
      <c r="B44" s="20" t="s">
        <v>28</v>
      </c>
      <c r="C44" s="10" t="s">
        <v>24</v>
      </c>
      <c r="D44" s="18" t="s">
        <v>25</v>
      </c>
      <c r="E44" s="10" t="s">
        <v>24</v>
      </c>
      <c r="F44" s="18" t="s">
        <v>25</v>
      </c>
      <c r="G44" s="10" t="s">
        <v>24</v>
      </c>
      <c r="H44" s="18" t="s">
        <v>25</v>
      </c>
      <c r="I44" s="33">
        <f t="shared" si="13"/>
        <v>60</v>
      </c>
      <c r="J44" s="33">
        <f>20+26+26</f>
        <v>72</v>
      </c>
      <c r="K44" s="18">
        <v>0</v>
      </c>
      <c r="L44" s="33">
        <f>6+6+9</f>
        <v>21</v>
      </c>
      <c r="M44" s="18">
        <v>0</v>
      </c>
      <c r="N44" s="34">
        <f>19.98*3</f>
        <v>59.94</v>
      </c>
      <c r="O44" s="35">
        <f>SUM(I44:N44)</f>
        <v>212.94</v>
      </c>
      <c r="P44" s="35">
        <f t="shared" si="14"/>
        <v>70.98</v>
      </c>
      <c r="Q44" s="18">
        <f>RANK(O44,$O$42:$O$44)</f>
        <v>2</v>
      </c>
      <c r="R44" s="42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</row>
  </sheetData>
  <mergeCells count="21">
    <mergeCell ref="A1:R1"/>
    <mergeCell ref="A2:R2"/>
    <mergeCell ref="C3:H3"/>
    <mergeCell ref="I3:R3"/>
    <mergeCell ref="A4:R4"/>
    <mergeCell ref="A5:R5"/>
    <mergeCell ref="A10:R10"/>
    <mergeCell ref="A15:R15"/>
    <mergeCell ref="A20:R20"/>
    <mergeCell ref="A25:R25"/>
    <mergeCell ref="A30:R30"/>
    <mergeCell ref="A35:R35"/>
    <mergeCell ref="A40:R40"/>
    <mergeCell ref="R7:R9"/>
    <mergeCell ref="R12:R14"/>
    <mergeCell ref="R17:R19"/>
    <mergeCell ref="R22:R24"/>
    <mergeCell ref="R27:R29"/>
    <mergeCell ref="R32:R34"/>
    <mergeCell ref="R37:R39"/>
    <mergeCell ref="R42:R44"/>
  </mergeCells>
  <pageMargins left="0.75" right="0.75" top="1" bottom="1" header="0.51" footer="0.51"/>
  <pageSetup paperSize="9" orientation="portrait"/>
  <headerFooter alignWithMargins="0" scaleWithDoc="0"/>
  <ignoredErrors>
    <ignoredError sqref="K33 K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LTZB</cp:lastModifiedBy>
  <cp:revision>1</cp:revision>
  <dcterms:created xsi:type="dcterms:W3CDTF">2016-01-02T10:55:00Z</dcterms:created>
  <dcterms:modified xsi:type="dcterms:W3CDTF">2021-06-21T06:49:58Z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8B28ED00EEB5493B8E71E6EE294A5CB2</vt:lpwstr>
  </property>
</Properties>
</file>