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4"/>
  </bookViews>
  <sheets>
    <sheet name="1" sheetId="1" r:id="rId1"/>
    <sheet name="2" sheetId="2" r:id="rId2"/>
    <sheet name="3" sheetId="3" r:id="rId3"/>
    <sheet name="4" sheetId="4" r:id="rId4"/>
    <sheet name="5" sheetId="5" r:id="rId5"/>
  </sheets>
  <definedNames/>
  <calcPr fullCalcOnLoad="1"/>
</workbook>
</file>

<file path=xl/sharedStrings.xml><?xml version="1.0" encoding="utf-8"?>
<sst xmlns="http://schemas.openxmlformats.org/spreadsheetml/2006/main" count="588" uniqueCount="85">
  <si>
    <t>评审情况表（第一包）</t>
  </si>
  <si>
    <t>项目名称：成都高新区公办中小学幼儿园2021-2022学年度食堂大宗食品原料政府采购项目（第二批）</t>
  </si>
  <si>
    <t xml:space="preserve">项目编号：510188202100148 </t>
  </si>
  <si>
    <t>评审时间：2021年8月19日</t>
  </si>
  <si>
    <t>序号</t>
  </si>
  <si>
    <t>投标人名称</t>
  </si>
  <si>
    <t>是否通过资格性审查</t>
  </si>
  <si>
    <t>未通过原因</t>
  </si>
  <si>
    <t>是否通过符合性审查</t>
  </si>
  <si>
    <t>投标报价
（35分）</t>
  </si>
  <si>
    <t>制度保障
(9分)</t>
  </si>
  <si>
    <t>应急保障
(4分)</t>
  </si>
  <si>
    <t>服务人员保障 (7.5分)</t>
  </si>
  <si>
    <t>设施设备(8分)</t>
  </si>
  <si>
    <t>配送方案
(14分)</t>
  </si>
  <si>
    <t>业绩  
(15分)</t>
  </si>
  <si>
    <t>履约保障
(7分)</t>
  </si>
  <si>
    <t>扶持不发达地区和少数民族地区
（0.5分)</t>
  </si>
  <si>
    <t>平均分汇总</t>
  </si>
  <si>
    <t>评审结果</t>
  </si>
  <si>
    <t>7人汇总分</t>
  </si>
  <si>
    <t>平均分</t>
  </si>
  <si>
    <t>6汇总分</t>
  </si>
  <si>
    <t>望家欢农产品集团有限公司</t>
  </si>
  <si>
    <t>是</t>
  </si>
  <si>
    <t>/</t>
  </si>
  <si>
    <t>第一名中标候选人：望家欢农产品集团有限公司；投标折扣：9.3折；            第二名中标候选人：四川朗基后勤管理服务有限公司；投标折扣：9.4折；       第三名中标候选人：四川丰瑞农业发展有限公司；投标折扣：9.4折；</t>
  </si>
  <si>
    <t>四川朗基后勤管理服务有限公司</t>
  </si>
  <si>
    <t xml:space="preserve">是 </t>
  </si>
  <si>
    <t>四川丰瑞农业发展有限公司</t>
  </si>
  <si>
    <t>四川成鲜生态农业有限公司</t>
  </si>
  <si>
    <t>四川绿府农业科技有限公司</t>
  </si>
  <si>
    <t>成都市长胜农产品贸易有限责任公司</t>
  </si>
  <si>
    <t>四川新蓉营养科技有限公司</t>
  </si>
  <si>
    <t>四川百佳汇农业科技有限公司</t>
  </si>
  <si>
    <t>四川省惠利多商贸有限责任公司</t>
  </si>
  <si>
    <t>否</t>
  </si>
  <si>
    <t>无核心产品</t>
  </si>
  <si>
    <t>四川益锦康农业科技有限公司</t>
  </si>
  <si>
    <t>四川省老邻居商贸连锁有限责任公司</t>
  </si>
  <si>
    <t>招标文件P67-P68实质性内容未完全响应</t>
  </si>
  <si>
    <t>浙江大鑫农业发展有限公司</t>
  </si>
  <si>
    <t>开标一览表未逐页签字</t>
  </si>
  <si>
    <t>成都尚优康商贸有限公司</t>
  </si>
  <si>
    <t>评审情况表（第二包）</t>
  </si>
  <si>
    <t>成都市诚鑫农业开发有限公司</t>
  </si>
  <si>
    <t>第一名中标候选人：成都市诚鑫农业开发有限公司；投标折扣：9.3折；            第二名中标候选人：四川彩食鲜供应链发展有限公司；投标折扣：8.8折；       第三名中标候选人：成都源香园农业科技有限公司；投标折扣：9.4折；
备注：第二包：成都市诚鑫农业开发有限公司、成都牧马山农产品产销专业合作社核心产品相同，根据招标文件要求提供相同品牌产品且通过资格审查、符合性审查的不同投标人参加同一合同项下投标的，按一家投标人计算,(成都市诚鑫农业开发有限公司)评审后得分最高获得中标人推荐资格.</t>
  </si>
  <si>
    <t>四川彩食鲜供应链发展有限公司</t>
  </si>
  <si>
    <t>成都牧马山农产品产销专业合作社</t>
  </si>
  <si>
    <t>成都源香园农业科技有限公司</t>
  </si>
  <si>
    <t>四川鑫双勇商贸有限责任公司</t>
  </si>
  <si>
    <t>四川益雅农业有限公司</t>
  </si>
  <si>
    <t>成都荣欣农业科技有限公司</t>
  </si>
  <si>
    <t>评审情况表（第三包）</t>
  </si>
  <si>
    <t>投标报价（35分）</t>
  </si>
  <si>
    <t>四川展翼农业有限公司</t>
  </si>
  <si>
    <t>第一名中标候选人：四川展翼农业有限公司；投标折扣：9.13折；              第二名中标候选人：成都涌汇农副产品有限公司；投标折扣：9.3折；               第三名中标候选人：成都绿源行农产品有限公司；投标折扣：9.4折；</t>
  </si>
  <si>
    <t>成都涌汇农副产品有限公司</t>
  </si>
  <si>
    <t>成都绿源行农产品有限公司</t>
  </si>
  <si>
    <t>成都市万家欢商贸有限公司</t>
  </si>
  <si>
    <t>成都鸿康农业科技开发有限公司</t>
  </si>
  <si>
    <t>成都田禾仓农业科技有限公司</t>
  </si>
  <si>
    <t>四川康欣源农业科技有限公司</t>
  </si>
  <si>
    <t>成都琨山集鲜科技有限公司</t>
  </si>
  <si>
    <t>四川益鹏农业开发有限公司</t>
  </si>
  <si>
    <t>四川地势坤现代农业发展有限公司</t>
  </si>
  <si>
    <t>成都川恒亿科技有限公司</t>
  </si>
  <si>
    <t>四川舜锦农业科技有限公司</t>
  </si>
  <si>
    <t>其他投标文件缺一本正本</t>
  </si>
  <si>
    <t>成都五溢香商贸有限公司</t>
  </si>
  <si>
    <t>评审情况表（第四包）</t>
  </si>
  <si>
    <t>第一名中标候选人：成都绿源行农产品有限公司；投标折扣：9.4折；              第二名中标候选人：成都市万家欢商贸有限公司；投标折扣：8.56折；               第三名中标候选人：四川彩食鲜供应链发展有限公司；投标折扣：8.8折；
备注：成都市万家欢商贸有限公司、四川舜锦农业科技有限公司、四川展翼农业有限公司核心产品相同，根据招标文件要求提供相同品牌产品且通过资格审查、符合性审查的不同投标人参加同一合同项下投标的，按一家投标人计算，（成都市万家欢商贸有限公司）评审后得分最高获得中标人推荐资格。</t>
  </si>
  <si>
    <t>成都心诚农副产品有限公司</t>
  </si>
  <si>
    <t>四川绿之康超市有限公司</t>
  </si>
  <si>
    <t>四川康田祥光农业有限公司</t>
  </si>
  <si>
    <t>四川国康农产品销售有限责任公司</t>
  </si>
  <si>
    <t>成都鸿赤运海鲜食品有限公司</t>
  </si>
  <si>
    <t>成都晓德农业科技有限公司</t>
  </si>
  <si>
    <t>成都米叔农业开发有限公司</t>
  </si>
  <si>
    <t>四川一点田生态农业有限公司</t>
  </si>
  <si>
    <t>评审情况表（第五包）</t>
  </si>
  <si>
    <t>第一名中标候选人：四川舜锦农业科技有限公司；投标折扣：9.4折；              第二名中标候选人：成都涌汇农副产品有限公司；投标折扣：9.2折；               第三名中标候选人：望家欢农产品集团有限公司；投标折扣：9.3折；备注：四川舜锦农业科技有限公司、成都市万家欢商贸有限公司核心产品相同，根据招标文件要求提供相同品牌产品且通过资格审查、符合性审查的不同投标人参加同一合同项下投标的，按一家投标人计算，（四川舜锦农业科技有限公司）评审后得分最高获得中标人推荐资格。</t>
  </si>
  <si>
    <t>四川绿牧园农业发展有限公司</t>
  </si>
  <si>
    <t>成都玖鼎农业有限公司</t>
  </si>
  <si>
    <t>四川隆青商贸有限公司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</si>
</sst>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63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4"/>
      <name val="宋体"/>
      <family val="0"/>
    </font>
    <font>
      <b/>
      <sz val="20"/>
      <name val="宋体"/>
      <family val="0"/>
    </font>
    <font>
      <b/>
      <sz val="10"/>
      <name val="宋体"/>
      <family val="0"/>
    </font>
    <font>
      <b/>
      <sz val="14"/>
      <name val="宋体"/>
      <family val="0"/>
    </font>
    <font>
      <sz val="12"/>
      <color indexed="8"/>
      <name val="宋体"/>
      <family val="0"/>
    </font>
    <font>
      <sz val="10"/>
      <color indexed="8"/>
      <name val="仿宋_GB2312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b/>
      <sz val="18"/>
      <name val="宋体"/>
      <family val="0"/>
    </font>
    <font>
      <sz val="8"/>
      <color indexed="8"/>
      <name val="宋体"/>
      <family val="0"/>
    </font>
    <font>
      <sz val="11"/>
      <color indexed="8"/>
      <name val="仿宋_GB2312"/>
      <family val="0"/>
    </font>
    <font>
      <sz val="12"/>
      <color indexed="8"/>
      <name val="仿宋_GB2312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sz val="9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sz val="10"/>
      <color theme="1"/>
      <name val="仿宋_GB2312"/>
      <family val="0"/>
    </font>
    <font>
      <sz val="10"/>
      <color rgb="FF000000"/>
      <name val="宋体"/>
      <family val="0"/>
    </font>
    <font>
      <sz val="9"/>
      <color rgb="FF000000"/>
      <name val="宋体"/>
      <family val="0"/>
    </font>
    <font>
      <sz val="10"/>
      <color theme="1"/>
      <name val="宋体"/>
      <family val="0"/>
    </font>
    <font>
      <sz val="8"/>
      <color rgb="FF000000"/>
      <name val="宋体"/>
      <family val="0"/>
    </font>
    <font>
      <sz val="11"/>
      <color theme="1"/>
      <name val="仿宋_GB2312"/>
      <family val="0"/>
    </font>
    <font>
      <sz val="12"/>
      <color theme="1"/>
      <name val="仿宋_GB2312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7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5" fillId="2" borderId="0" applyNumberFormat="0" applyBorder="0" applyAlignment="0" applyProtection="0"/>
    <xf numFmtId="0" fontId="3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4" borderId="0" applyNumberFormat="0" applyBorder="0" applyAlignment="0" applyProtection="0"/>
    <xf numFmtId="0" fontId="37" fillId="5" borderId="0" applyNumberFormat="0" applyBorder="0" applyAlignment="0" applyProtection="0"/>
    <xf numFmtId="43" fontId="0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>
      <alignment vertical="center"/>
      <protection/>
    </xf>
    <xf numFmtId="0" fontId="41" fillId="7" borderId="2" applyNumberFormat="0" applyFont="0" applyAlignment="0" applyProtection="0"/>
    <xf numFmtId="0" fontId="38" fillId="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0" borderId="0">
      <alignment vertical="center"/>
      <protection/>
    </xf>
    <xf numFmtId="0" fontId="46" fillId="0" borderId="3" applyNumberFormat="0" applyFill="0" applyAlignment="0" applyProtection="0"/>
    <xf numFmtId="0" fontId="0" fillId="0" borderId="0">
      <alignment vertical="center"/>
      <protection/>
    </xf>
    <xf numFmtId="0" fontId="47" fillId="0" borderId="3" applyNumberFormat="0" applyFill="0" applyAlignment="0" applyProtection="0"/>
    <xf numFmtId="0" fontId="38" fillId="9" borderId="0" applyNumberFormat="0" applyBorder="0" applyAlignment="0" applyProtection="0"/>
    <xf numFmtId="0" fontId="42" fillId="0" borderId="4" applyNumberFormat="0" applyFill="0" applyAlignment="0" applyProtection="0"/>
    <xf numFmtId="0" fontId="38" fillId="10" borderId="0" applyNumberFormat="0" applyBorder="0" applyAlignment="0" applyProtection="0"/>
    <xf numFmtId="0" fontId="48" fillId="11" borderId="5" applyNumberFormat="0" applyAlignment="0" applyProtection="0"/>
    <xf numFmtId="0" fontId="49" fillId="11" borderId="1" applyNumberFormat="0" applyAlignment="0" applyProtection="0"/>
    <xf numFmtId="0" fontId="50" fillId="12" borderId="6" applyNumberFormat="0" applyAlignment="0" applyProtection="0"/>
    <xf numFmtId="0" fontId="35" fillId="13" borderId="0" applyNumberFormat="0" applyBorder="0" applyAlignment="0" applyProtection="0"/>
    <xf numFmtId="0" fontId="38" fillId="14" borderId="0" applyNumberFormat="0" applyBorder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33" fillId="0" borderId="0">
      <alignment vertical="center"/>
      <protection/>
    </xf>
    <xf numFmtId="0" fontId="53" fillId="15" borderId="0" applyNumberFormat="0" applyBorder="0" applyAlignment="0" applyProtection="0"/>
    <xf numFmtId="0" fontId="54" fillId="16" borderId="0" applyNumberFormat="0" applyBorder="0" applyAlignment="0" applyProtection="0"/>
    <xf numFmtId="0" fontId="35" fillId="17" borderId="0" applyNumberFormat="0" applyBorder="0" applyAlignment="0" applyProtection="0"/>
    <xf numFmtId="0" fontId="38" fillId="18" borderId="0" applyNumberFormat="0" applyBorder="0" applyAlignment="0" applyProtection="0"/>
    <xf numFmtId="0" fontId="33" fillId="0" borderId="0">
      <alignment vertical="center"/>
      <protection/>
    </xf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8" fillId="27" borderId="0" applyNumberFormat="0" applyBorder="0" applyAlignment="0" applyProtection="0"/>
    <xf numFmtId="0" fontId="35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5" fillId="31" borderId="0" applyNumberFormat="0" applyBorder="0" applyAlignment="0" applyProtection="0"/>
    <xf numFmtId="0" fontId="38" fillId="32" borderId="0" applyNumberFormat="0" applyBorder="0" applyAlignment="0" applyProtection="0"/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</cellStyleXfs>
  <cellXfs count="72"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4" fillId="0" borderId="0" xfId="70" applyFont="1" applyBorder="1" applyAlignment="1">
      <alignment horizontal="center" vertical="center" wrapText="1"/>
      <protection/>
    </xf>
    <xf numFmtId="0" fontId="5" fillId="0" borderId="0" xfId="70" applyFont="1" applyBorder="1" applyAlignment="1">
      <alignment horizontal="center" vertical="center"/>
      <protection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55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0" fontId="55" fillId="0" borderId="11" xfId="0" applyFont="1" applyFill="1" applyBorder="1" applyAlignment="1">
      <alignment vertical="center" wrapText="1"/>
    </xf>
    <xf numFmtId="0" fontId="55" fillId="0" borderId="9" xfId="0" applyFont="1" applyFill="1" applyBorder="1" applyAlignment="1">
      <alignment horizontal="center" vertical="center" wrapText="1"/>
    </xf>
    <xf numFmtId="0" fontId="55" fillId="0" borderId="9" xfId="68" applyFont="1" applyBorder="1" applyAlignment="1">
      <alignment horizontal="center" vertical="center" wrapText="1"/>
      <protection/>
    </xf>
    <xf numFmtId="0" fontId="56" fillId="0" borderId="9" xfId="0" applyFont="1" applyFill="1" applyBorder="1" applyAlignment="1">
      <alignment horizontal="center" vertical="center" wrapText="1"/>
    </xf>
    <xf numFmtId="0" fontId="55" fillId="0" borderId="9" xfId="0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center" vertical="center"/>
    </xf>
    <xf numFmtId="0" fontId="57" fillId="0" borderId="9" xfId="0" applyFont="1" applyBorder="1" applyAlignment="1">
      <alignment horizontal="center" vertical="center" wrapText="1"/>
    </xf>
    <xf numFmtId="0" fontId="58" fillId="0" borderId="9" xfId="0" applyFont="1" applyBorder="1" applyAlignment="1">
      <alignment horizontal="center" vertical="center" wrapText="1"/>
    </xf>
    <xf numFmtId="0" fontId="55" fillId="0" borderId="9" xfId="0" applyFont="1" applyFill="1" applyBorder="1" applyAlignment="1">
      <alignment horizontal="center" vertical="center"/>
    </xf>
    <xf numFmtId="0" fontId="55" fillId="0" borderId="9" xfId="48" applyFont="1" applyBorder="1" applyAlignment="1">
      <alignment horizontal="center" vertical="center" wrapText="1"/>
      <protection/>
    </xf>
    <xf numFmtId="0" fontId="55" fillId="0" borderId="10" xfId="48" applyFont="1" applyBorder="1" applyAlignment="1">
      <alignment horizontal="center" vertical="center" wrapText="1"/>
      <protection/>
    </xf>
    <xf numFmtId="0" fontId="55" fillId="0" borderId="11" xfId="48" applyFont="1" applyBorder="1" applyAlignment="1">
      <alignment horizontal="center" vertical="center" wrapText="1"/>
      <protection/>
    </xf>
    <xf numFmtId="176" fontId="55" fillId="0" borderId="9" xfId="68" applyNumberFormat="1" applyFont="1" applyBorder="1" applyAlignment="1">
      <alignment horizontal="center" vertical="center" wrapText="1"/>
      <protection/>
    </xf>
    <xf numFmtId="0" fontId="55" fillId="0" borderId="9" xfId="68" applyNumberFormat="1" applyFont="1" applyBorder="1" applyAlignment="1">
      <alignment horizontal="center" vertical="center" wrapText="1"/>
      <protection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1" fillId="0" borderId="0" xfId="70" applyFont="1" applyBorder="1" applyAlignment="1">
      <alignment horizontal="center" vertical="center"/>
      <protection/>
    </xf>
    <xf numFmtId="0" fontId="11" fillId="0" borderId="0" xfId="70" applyFont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55" fillId="0" borderId="9" xfId="53" applyFont="1" applyBorder="1" applyAlignment="1">
      <alignment horizontal="center" vertical="center" wrapText="1"/>
      <protection/>
    </xf>
    <xf numFmtId="0" fontId="0" fillId="0" borderId="9" xfId="53" applyFont="1" applyBorder="1" applyAlignment="1">
      <alignment horizontal="center" vertical="center" wrapText="1"/>
      <protection/>
    </xf>
    <xf numFmtId="176" fontId="55" fillId="0" borderId="9" xfId="53" applyNumberFormat="1" applyFont="1" applyBorder="1" applyAlignment="1">
      <alignment horizontal="center" vertical="center" wrapText="1"/>
      <protection/>
    </xf>
    <xf numFmtId="0" fontId="3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6" fillId="0" borderId="0" xfId="70" applyFont="1" applyBorder="1" applyAlignment="1">
      <alignment horizontal="center" vertical="center" wrapText="1"/>
      <protection/>
    </xf>
    <xf numFmtId="0" fontId="6" fillId="0" borderId="0" xfId="70" applyFont="1" applyBorder="1" applyAlignment="1">
      <alignment horizontal="center" vertical="center"/>
      <protection/>
    </xf>
    <xf numFmtId="0" fontId="0" fillId="0" borderId="0" xfId="0" applyFont="1" applyFill="1" applyBorder="1" applyAlignment="1">
      <alignment vertical="center"/>
    </xf>
    <xf numFmtId="0" fontId="2" fillId="0" borderId="9" xfId="0" applyFont="1" applyFill="1" applyBorder="1" applyAlignment="1">
      <alignment horizontal="center" vertical="center"/>
    </xf>
    <xf numFmtId="0" fontId="59" fillId="0" borderId="9" xfId="0" applyFont="1" applyFill="1" applyBorder="1" applyAlignment="1">
      <alignment horizontal="center" vertical="center" wrapText="1"/>
    </xf>
    <xf numFmtId="0" fontId="59" fillId="0" borderId="10" xfId="0" applyFont="1" applyFill="1" applyBorder="1" applyAlignment="1">
      <alignment horizontal="center" vertical="center" wrapText="1"/>
    </xf>
    <xf numFmtId="0" fontId="59" fillId="0" borderId="11" xfId="0" applyFont="1" applyFill="1" applyBorder="1" applyAlignment="1">
      <alignment vertical="center" wrapText="1"/>
    </xf>
    <xf numFmtId="0" fontId="59" fillId="0" borderId="9" xfId="0" applyFont="1" applyFill="1" applyBorder="1" applyAlignment="1">
      <alignment horizontal="center" vertical="center" wrapText="1"/>
    </xf>
    <xf numFmtId="0" fontId="59" fillId="0" borderId="9" xfId="68" applyFont="1" applyBorder="1" applyAlignment="1">
      <alignment horizontal="center" vertical="center" wrapText="1"/>
      <protection/>
    </xf>
    <xf numFmtId="0" fontId="60" fillId="0" borderId="9" xfId="0" applyFont="1" applyBorder="1" applyAlignment="1">
      <alignment horizontal="center" vertical="center" wrapText="1"/>
    </xf>
    <xf numFmtId="0" fontId="59" fillId="0" borderId="9" xfId="48" applyFont="1" applyBorder="1" applyAlignment="1">
      <alignment horizontal="center" vertical="center" wrapText="1"/>
      <protection/>
    </xf>
    <xf numFmtId="0" fontId="59" fillId="0" borderId="10" xfId="48" applyFont="1" applyBorder="1" applyAlignment="1">
      <alignment horizontal="center" vertical="center" wrapText="1"/>
      <protection/>
    </xf>
    <xf numFmtId="0" fontId="59" fillId="0" borderId="11" xfId="48" applyFont="1" applyBorder="1" applyAlignment="1">
      <alignment horizontal="center" vertical="center" wrapText="1"/>
      <protection/>
    </xf>
    <xf numFmtId="176" fontId="55" fillId="0" borderId="9" xfId="0" applyNumberFormat="1" applyFont="1" applyFill="1" applyBorder="1" applyAlignment="1">
      <alignment horizontal="center" vertical="center"/>
    </xf>
    <xf numFmtId="0" fontId="55" fillId="0" borderId="9" xfId="68" applyFont="1" applyFill="1" applyBorder="1" applyAlignment="1">
      <alignment horizontal="center" vertical="center" wrapText="1"/>
      <protection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59" fillId="0" borderId="9" xfId="53" applyFont="1" applyBorder="1" applyAlignment="1">
      <alignment horizontal="center" vertical="center" wrapText="1"/>
      <protection/>
    </xf>
    <xf numFmtId="0" fontId="2" fillId="0" borderId="9" xfId="53" applyFont="1" applyBorder="1" applyAlignment="1">
      <alignment horizontal="center" vertical="center" wrapText="1"/>
      <protection/>
    </xf>
    <xf numFmtId="14" fontId="55" fillId="0" borderId="10" xfId="0" applyNumberFormat="1" applyFont="1" applyFill="1" applyBorder="1" applyAlignment="1">
      <alignment horizontal="center" vertical="center" wrapText="1"/>
    </xf>
    <xf numFmtId="0" fontId="61" fillId="0" borderId="9" xfId="0" applyFont="1" applyFill="1" applyBorder="1" applyAlignment="1">
      <alignment horizontal="center" vertical="center" wrapText="1"/>
    </xf>
    <xf numFmtId="0" fontId="62" fillId="0" borderId="9" xfId="0" applyFont="1" applyFill="1" applyBorder="1" applyAlignment="1">
      <alignment horizontal="center" vertical="center" wrapText="1"/>
    </xf>
    <xf numFmtId="0" fontId="55" fillId="0" borderId="12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</cellXfs>
  <cellStyles count="5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常规 8" xfId="34"/>
    <cellStyle name="标题 1" xfId="35"/>
    <cellStyle name="常规 9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常规_8评分表" xfId="48"/>
    <cellStyle name="好" xfId="49"/>
    <cellStyle name="适中" xfId="50"/>
    <cellStyle name="20% - 强调文字颜色 5" xfId="51"/>
    <cellStyle name="强调文字颜色 1" xfId="52"/>
    <cellStyle name="常规_8评分表_2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  <cellStyle name="常规_10评分汇总表" xfId="68"/>
    <cellStyle name="常规_6资格性审查表_3" xfId="69"/>
    <cellStyle name="常规_Sheet6" xfId="70"/>
    <cellStyle name="常规 3" xfId="71"/>
    <cellStyle name="常规 2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18"/>
  <sheetViews>
    <sheetView view="pageBreakPreview" zoomScaleNormal="80" zoomScaleSheetLayoutView="100" workbookViewId="0" topLeftCell="A1">
      <selection activeCell="G16" sqref="G16:Y16"/>
    </sheetView>
  </sheetViews>
  <sheetFormatPr defaultColWidth="9.00390625" defaultRowHeight="14.25"/>
  <cols>
    <col min="1" max="1" width="6.375" style="4" customWidth="1"/>
    <col min="2" max="2" width="13.00390625" style="4" customWidth="1"/>
    <col min="3" max="5" width="6.125" style="6" customWidth="1"/>
    <col min="6" max="6" width="22.25390625" style="6" customWidth="1"/>
    <col min="7" max="8" width="8.25390625" style="6" customWidth="1"/>
    <col min="9" max="9" width="6.375" style="6" customWidth="1"/>
    <col min="10" max="10" width="12.50390625" style="6" customWidth="1"/>
    <col min="11" max="11" width="6.375" style="6" customWidth="1"/>
    <col min="12" max="12" width="7.375" style="6" customWidth="1"/>
    <col min="13" max="17" width="6.375" style="6" customWidth="1"/>
    <col min="18" max="18" width="8.25390625" style="6" customWidth="1"/>
    <col min="19" max="24" width="6.375" style="6" customWidth="1"/>
    <col min="25" max="25" width="6.75390625" style="7" customWidth="1"/>
    <col min="26" max="26" width="19.625" style="4" customWidth="1"/>
    <col min="27" max="16384" width="9.00390625" style="4" customWidth="1"/>
  </cols>
  <sheetData>
    <row r="1" spans="1:26" s="1" customFormat="1" ht="33.75" customHeight="1">
      <c r="A1" s="8" t="s">
        <v>0</v>
      </c>
      <c r="B1" s="38"/>
      <c r="C1" s="10"/>
      <c r="D1" s="10"/>
      <c r="E1" s="10"/>
      <c r="F1" s="10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37"/>
      <c r="Z1" s="38"/>
    </row>
    <row r="2" spans="1:26" s="2" customFormat="1" ht="22.5" customHeight="1">
      <c r="A2" s="12" t="s">
        <v>1</v>
      </c>
      <c r="B2" s="49"/>
      <c r="C2" s="14"/>
      <c r="D2" s="14"/>
      <c r="E2" s="14"/>
      <c r="F2" s="14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39"/>
      <c r="Z2" s="40"/>
    </row>
    <row r="3" spans="1:26" s="1" customFormat="1" ht="22.5" customHeight="1">
      <c r="A3" s="12" t="s">
        <v>2</v>
      </c>
      <c r="B3" s="49"/>
      <c r="C3" s="14"/>
      <c r="D3" s="14"/>
      <c r="E3" s="14"/>
      <c r="F3" s="14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36"/>
      <c r="Y3" s="3" t="s">
        <v>3</v>
      </c>
      <c r="Z3" s="41"/>
    </row>
    <row r="4" spans="1:26" s="3" customFormat="1" ht="61.5" customHeight="1">
      <c r="A4" s="17" t="s">
        <v>4</v>
      </c>
      <c r="B4" s="20" t="s">
        <v>5</v>
      </c>
      <c r="C4" s="19" t="s">
        <v>6</v>
      </c>
      <c r="D4" s="19" t="s">
        <v>7</v>
      </c>
      <c r="E4" s="19" t="s">
        <v>8</v>
      </c>
      <c r="F4" s="20" t="s">
        <v>7</v>
      </c>
      <c r="G4" s="21" t="s">
        <v>9</v>
      </c>
      <c r="H4" s="22"/>
      <c r="I4" s="31" t="s">
        <v>10</v>
      </c>
      <c r="J4" s="31"/>
      <c r="K4" s="31" t="s">
        <v>11</v>
      </c>
      <c r="L4" s="31"/>
      <c r="M4" s="32" t="s">
        <v>12</v>
      </c>
      <c r="N4" s="33"/>
      <c r="O4" s="32" t="s">
        <v>13</v>
      </c>
      <c r="P4" s="33"/>
      <c r="Q4" s="32" t="s">
        <v>14</v>
      </c>
      <c r="R4" s="33"/>
      <c r="S4" s="31" t="s">
        <v>15</v>
      </c>
      <c r="T4" s="31"/>
      <c r="U4" s="31" t="s">
        <v>16</v>
      </c>
      <c r="V4" s="31"/>
      <c r="W4" s="31" t="s">
        <v>17</v>
      </c>
      <c r="X4" s="31"/>
      <c r="Y4" s="42" t="s">
        <v>18</v>
      </c>
      <c r="Z4" s="43" t="s">
        <v>19</v>
      </c>
    </row>
    <row r="5" spans="1:26" s="3" customFormat="1" ht="31.5" customHeight="1">
      <c r="A5" s="17"/>
      <c r="B5" s="20"/>
      <c r="C5" s="19"/>
      <c r="D5" s="19"/>
      <c r="E5" s="19"/>
      <c r="F5" s="20"/>
      <c r="G5" s="23" t="s">
        <v>20</v>
      </c>
      <c r="H5" s="24" t="s">
        <v>21</v>
      </c>
      <c r="I5" s="23" t="s">
        <v>22</v>
      </c>
      <c r="J5" s="24" t="s">
        <v>21</v>
      </c>
      <c r="K5" s="23" t="s">
        <v>22</v>
      </c>
      <c r="L5" s="24" t="s">
        <v>21</v>
      </c>
      <c r="M5" s="23" t="s">
        <v>22</v>
      </c>
      <c r="N5" s="24" t="s">
        <v>21</v>
      </c>
      <c r="O5" s="23" t="s">
        <v>22</v>
      </c>
      <c r="P5" s="24" t="s">
        <v>21</v>
      </c>
      <c r="Q5" s="23" t="s">
        <v>22</v>
      </c>
      <c r="R5" s="24" t="s">
        <v>21</v>
      </c>
      <c r="S5" s="23" t="s">
        <v>20</v>
      </c>
      <c r="T5" s="24" t="s">
        <v>21</v>
      </c>
      <c r="U5" s="23" t="s">
        <v>20</v>
      </c>
      <c r="V5" s="24" t="s">
        <v>21</v>
      </c>
      <c r="W5" s="23" t="s">
        <v>20</v>
      </c>
      <c r="X5" s="24" t="s">
        <v>21</v>
      </c>
      <c r="Y5" s="42"/>
      <c r="Z5" s="43"/>
    </row>
    <row r="6" spans="1:26" s="3" customFormat="1" ht="40.5" customHeight="1">
      <c r="A6" s="17">
        <v>1</v>
      </c>
      <c r="B6" s="67" t="s">
        <v>23</v>
      </c>
      <c r="C6" s="20" t="s">
        <v>24</v>
      </c>
      <c r="D6" s="20" t="s">
        <v>25</v>
      </c>
      <c r="E6" s="20" t="s">
        <v>24</v>
      </c>
      <c r="F6" s="20" t="s">
        <v>25</v>
      </c>
      <c r="G6" s="26">
        <f>31.99*7</f>
        <v>223.92999999999998</v>
      </c>
      <c r="H6" s="26">
        <f aca="true" t="shared" si="0" ref="H6:H13">G6/7</f>
        <v>31.99</v>
      </c>
      <c r="I6" s="26">
        <f>8+8+8+8+8+8</f>
        <v>48</v>
      </c>
      <c r="J6" s="34">
        <f aca="true" t="shared" si="1" ref="J6:N6">I6/6</f>
        <v>8</v>
      </c>
      <c r="K6" s="24">
        <f aca="true" t="shared" si="2" ref="K6:K10">3+3+3+3+3+3</f>
        <v>18</v>
      </c>
      <c r="L6" s="34">
        <f t="shared" si="1"/>
        <v>3</v>
      </c>
      <c r="M6" s="24">
        <f aca="true" t="shared" si="3" ref="M6:M11">7.5*6</f>
        <v>45</v>
      </c>
      <c r="N6" s="24">
        <f t="shared" si="1"/>
        <v>7.5</v>
      </c>
      <c r="O6" s="24">
        <f aca="true" t="shared" si="4" ref="O6:O10">8*6</f>
        <v>48</v>
      </c>
      <c r="P6" s="24">
        <f aca="true" t="shared" si="5" ref="P6:P13">O6/6</f>
        <v>8</v>
      </c>
      <c r="Q6" s="24">
        <f>13+13+13+13+13+13</f>
        <v>78</v>
      </c>
      <c r="R6" s="24">
        <f aca="true" t="shared" si="6" ref="R6:R13">Q6/6</f>
        <v>13</v>
      </c>
      <c r="S6" s="24">
        <f aca="true" t="shared" si="7" ref="S6:S13">15*7</f>
        <v>105</v>
      </c>
      <c r="T6" s="24">
        <f aca="true" t="shared" si="8" ref="T6:X6">S6/7</f>
        <v>15</v>
      </c>
      <c r="U6" s="24">
        <f aca="true" t="shared" si="9" ref="U6:U13">7*7</f>
        <v>49</v>
      </c>
      <c r="V6" s="24">
        <f t="shared" si="8"/>
        <v>7</v>
      </c>
      <c r="W6" s="24">
        <f aca="true" t="shared" si="10" ref="W6:W13">0*7</f>
        <v>0</v>
      </c>
      <c r="X6" s="24">
        <f t="shared" si="8"/>
        <v>0</v>
      </c>
      <c r="Y6" s="44">
        <f>SUM(H6,J6,L6,N6,P6,R6,T6,V6,X6)</f>
        <v>93.49</v>
      </c>
      <c r="Z6" s="20" t="s">
        <v>26</v>
      </c>
    </row>
    <row r="7" spans="1:26" s="3" customFormat="1" ht="40.5" customHeight="1">
      <c r="A7" s="17">
        <v>2</v>
      </c>
      <c r="B7" s="67" t="s">
        <v>27</v>
      </c>
      <c r="C7" s="20" t="s">
        <v>28</v>
      </c>
      <c r="D7" s="20" t="s">
        <v>25</v>
      </c>
      <c r="E7" s="20" t="s">
        <v>28</v>
      </c>
      <c r="F7" s="20" t="s">
        <v>25</v>
      </c>
      <c r="G7" s="26">
        <f>31.65*7</f>
        <v>221.54999999999998</v>
      </c>
      <c r="H7" s="26">
        <f t="shared" si="0"/>
        <v>31.65</v>
      </c>
      <c r="I7" s="26">
        <f aca="true" t="shared" si="11" ref="I7:I9">8+8+8+8+7+8</f>
        <v>47</v>
      </c>
      <c r="J7" s="34">
        <f aca="true" t="shared" si="12" ref="J7:N7">I7/6</f>
        <v>7.833333333333333</v>
      </c>
      <c r="K7" s="24">
        <f t="shared" si="2"/>
        <v>18</v>
      </c>
      <c r="L7" s="34">
        <f t="shared" si="12"/>
        <v>3</v>
      </c>
      <c r="M7" s="24">
        <f t="shared" si="3"/>
        <v>45</v>
      </c>
      <c r="N7" s="24">
        <f t="shared" si="12"/>
        <v>7.5</v>
      </c>
      <c r="O7" s="24">
        <f t="shared" si="4"/>
        <v>48</v>
      </c>
      <c r="P7" s="24">
        <f t="shared" si="5"/>
        <v>8</v>
      </c>
      <c r="Q7" s="24">
        <f>13+13+13+13+12+12</f>
        <v>76</v>
      </c>
      <c r="R7" s="24">
        <f t="shared" si="6"/>
        <v>12.666666666666666</v>
      </c>
      <c r="S7" s="24">
        <f t="shared" si="7"/>
        <v>105</v>
      </c>
      <c r="T7" s="24">
        <f aca="true" t="shared" si="13" ref="T7:X7">S7/7</f>
        <v>15</v>
      </c>
      <c r="U7" s="24">
        <f t="shared" si="9"/>
        <v>49</v>
      </c>
      <c r="V7" s="24">
        <f t="shared" si="13"/>
        <v>7</v>
      </c>
      <c r="W7" s="24">
        <f t="shared" si="10"/>
        <v>0</v>
      </c>
      <c r="X7" s="24">
        <f t="shared" si="13"/>
        <v>0</v>
      </c>
      <c r="Y7" s="44">
        <f aca="true" t="shared" si="14" ref="Y7:Y13">SUM(H7,J7,L7,N7,P7,R7,T7,V7,X7)</f>
        <v>92.65</v>
      </c>
      <c r="Z7" s="20"/>
    </row>
    <row r="8" spans="1:26" s="3" customFormat="1" ht="40.5" customHeight="1">
      <c r="A8" s="17">
        <v>3</v>
      </c>
      <c r="B8" s="67" t="s">
        <v>29</v>
      </c>
      <c r="C8" s="20" t="s">
        <v>24</v>
      </c>
      <c r="D8" s="20" t="s">
        <v>25</v>
      </c>
      <c r="E8" s="20" t="s">
        <v>24</v>
      </c>
      <c r="F8" s="20" t="s">
        <v>25</v>
      </c>
      <c r="G8" s="26">
        <f>31.65*7</f>
        <v>221.54999999999998</v>
      </c>
      <c r="H8" s="26">
        <f t="shared" si="0"/>
        <v>31.65</v>
      </c>
      <c r="I8" s="26">
        <f t="shared" si="11"/>
        <v>47</v>
      </c>
      <c r="J8" s="35">
        <v>7.833</v>
      </c>
      <c r="K8" s="24">
        <f aca="true" t="shared" si="15" ref="K8:K13">3+3+3+3+2+3</f>
        <v>17</v>
      </c>
      <c r="L8" s="34">
        <v>2.833</v>
      </c>
      <c r="M8" s="24">
        <f t="shared" si="3"/>
        <v>45</v>
      </c>
      <c r="N8" s="24">
        <f>M8/6</f>
        <v>7.5</v>
      </c>
      <c r="O8" s="24">
        <f t="shared" si="4"/>
        <v>48</v>
      </c>
      <c r="P8" s="24">
        <f t="shared" si="5"/>
        <v>8</v>
      </c>
      <c r="Q8" s="24">
        <f>13+13+12+13+11+13</f>
        <v>75</v>
      </c>
      <c r="R8" s="24">
        <f t="shared" si="6"/>
        <v>12.5</v>
      </c>
      <c r="S8" s="24">
        <f t="shared" si="7"/>
        <v>105</v>
      </c>
      <c r="T8" s="24">
        <f aca="true" t="shared" si="16" ref="T8:X8">S8/7</f>
        <v>15</v>
      </c>
      <c r="U8" s="24">
        <f t="shared" si="9"/>
        <v>49</v>
      </c>
      <c r="V8" s="24">
        <f t="shared" si="16"/>
        <v>7</v>
      </c>
      <c r="W8" s="24">
        <f t="shared" si="10"/>
        <v>0</v>
      </c>
      <c r="X8" s="24">
        <f t="shared" si="16"/>
        <v>0</v>
      </c>
      <c r="Y8" s="44">
        <f t="shared" si="14"/>
        <v>92.316</v>
      </c>
      <c r="Z8" s="20"/>
    </row>
    <row r="9" spans="1:26" s="3" customFormat="1" ht="40.5" customHeight="1">
      <c r="A9" s="17">
        <v>4</v>
      </c>
      <c r="B9" s="68" t="s">
        <v>30</v>
      </c>
      <c r="C9" s="20" t="s">
        <v>24</v>
      </c>
      <c r="D9" s="20" t="s">
        <v>25</v>
      </c>
      <c r="E9" s="20" t="s">
        <v>24</v>
      </c>
      <c r="F9" s="20" t="s">
        <v>25</v>
      </c>
      <c r="G9" s="26">
        <f>31.38*7</f>
        <v>219.66</v>
      </c>
      <c r="H9" s="26">
        <f t="shared" si="0"/>
        <v>31.38</v>
      </c>
      <c r="I9" s="26">
        <f t="shared" si="11"/>
        <v>47</v>
      </c>
      <c r="J9" s="34">
        <f aca="true" t="shared" si="17" ref="J9:N9">I9/6</f>
        <v>7.833333333333333</v>
      </c>
      <c r="K9" s="24">
        <f t="shared" si="15"/>
        <v>17</v>
      </c>
      <c r="L9" s="34">
        <f t="shared" si="17"/>
        <v>2.8333333333333335</v>
      </c>
      <c r="M9" s="24">
        <f t="shared" si="3"/>
        <v>45</v>
      </c>
      <c r="N9" s="24">
        <f t="shared" si="17"/>
        <v>7.5</v>
      </c>
      <c r="O9" s="24">
        <f t="shared" si="4"/>
        <v>48</v>
      </c>
      <c r="P9" s="24">
        <f t="shared" si="5"/>
        <v>8</v>
      </c>
      <c r="Q9" s="24">
        <f>13+13+12+13+13+12</f>
        <v>76</v>
      </c>
      <c r="R9" s="24">
        <f t="shared" si="6"/>
        <v>12.666666666666666</v>
      </c>
      <c r="S9" s="24">
        <f t="shared" si="7"/>
        <v>105</v>
      </c>
      <c r="T9" s="24">
        <f aca="true" t="shared" si="18" ref="T9:X9">S9/7</f>
        <v>15</v>
      </c>
      <c r="U9" s="24">
        <f t="shared" si="9"/>
        <v>49</v>
      </c>
      <c r="V9" s="24">
        <f t="shared" si="18"/>
        <v>7</v>
      </c>
      <c r="W9" s="24">
        <f t="shared" si="10"/>
        <v>0</v>
      </c>
      <c r="X9" s="24">
        <f t="shared" si="18"/>
        <v>0</v>
      </c>
      <c r="Y9" s="44">
        <f t="shared" si="14"/>
        <v>92.21333333333334</v>
      </c>
      <c r="Z9" s="20"/>
    </row>
    <row r="10" spans="1:26" s="3" customFormat="1" ht="40.5" customHeight="1">
      <c r="A10" s="17">
        <v>5</v>
      </c>
      <c r="B10" s="67" t="s">
        <v>31</v>
      </c>
      <c r="C10" s="20" t="s">
        <v>24</v>
      </c>
      <c r="D10" s="20" t="s">
        <v>25</v>
      </c>
      <c r="E10" s="20" t="s">
        <v>24</v>
      </c>
      <c r="F10" s="20" t="s">
        <v>25</v>
      </c>
      <c r="G10" s="26">
        <f>30.99*7</f>
        <v>216.92999999999998</v>
      </c>
      <c r="H10" s="26">
        <f t="shared" si="0"/>
        <v>30.99</v>
      </c>
      <c r="I10" s="26">
        <f>8+8+8+8+8+8</f>
        <v>48</v>
      </c>
      <c r="J10" s="34">
        <f aca="true" t="shared" si="19" ref="J10:N10">I10/6</f>
        <v>8</v>
      </c>
      <c r="K10" s="24">
        <f t="shared" si="2"/>
        <v>18</v>
      </c>
      <c r="L10" s="34">
        <f t="shared" si="19"/>
        <v>3</v>
      </c>
      <c r="M10" s="24">
        <f t="shared" si="3"/>
        <v>45</v>
      </c>
      <c r="N10" s="24">
        <f t="shared" si="19"/>
        <v>7.5</v>
      </c>
      <c r="O10" s="24">
        <f t="shared" si="4"/>
        <v>48</v>
      </c>
      <c r="P10" s="24">
        <f t="shared" si="5"/>
        <v>8</v>
      </c>
      <c r="Q10" s="24">
        <f>13+13+12+13+12+12</f>
        <v>75</v>
      </c>
      <c r="R10" s="24">
        <f t="shared" si="6"/>
        <v>12.5</v>
      </c>
      <c r="S10" s="24">
        <f t="shared" si="7"/>
        <v>105</v>
      </c>
      <c r="T10" s="24">
        <f aca="true" t="shared" si="20" ref="T10:X10">S10/7</f>
        <v>15</v>
      </c>
      <c r="U10" s="24">
        <f t="shared" si="9"/>
        <v>49</v>
      </c>
      <c r="V10" s="24">
        <f t="shared" si="20"/>
        <v>7</v>
      </c>
      <c r="W10" s="24">
        <f t="shared" si="10"/>
        <v>0</v>
      </c>
      <c r="X10" s="24">
        <f t="shared" si="20"/>
        <v>0</v>
      </c>
      <c r="Y10" s="44">
        <f t="shared" si="14"/>
        <v>91.99</v>
      </c>
      <c r="Z10" s="20"/>
    </row>
    <row r="11" spans="1:26" s="3" customFormat="1" ht="40.5" customHeight="1">
      <c r="A11" s="17">
        <v>6</v>
      </c>
      <c r="B11" s="67" t="s">
        <v>32</v>
      </c>
      <c r="C11" s="20" t="s">
        <v>24</v>
      </c>
      <c r="D11" s="20" t="s">
        <v>25</v>
      </c>
      <c r="E11" s="20" t="s">
        <v>24</v>
      </c>
      <c r="F11" s="20" t="s">
        <v>25</v>
      </c>
      <c r="G11" s="26">
        <f>35*7</f>
        <v>245</v>
      </c>
      <c r="H11" s="26">
        <f t="shared" si="0"/>
        <v>35</v>
      </c>
      <c r="I11" s="26">
        <f>7+8+8+6+6+8</f>
        <v>43</v>
      </c>
      <c r="J11" s="35">
        <v>7.167</v>
      </c>
      <c r="K11" s="24">
        <f>3+3+3+2+2+3</f>
        <v>16</v>
      </c>
      <c r="L11" s="34">
        <f aca="true" t="shared" si="21" ref="J11:N11">K11/6</f>
        <v>2.6666666666666665</v>
      </c>
      <c r="M11" s="24">
        <f t="shared" si="3"/>
        <v>45</v>
      </c>
      <c r="N11" s="24">
        <f t="shared" si="21"/>
        <v>7.5</v>
      </c>
      <c r="O11" s="24">
        <f>5*6</f>
        <v>30</v>
      </c>
      <c r="P11" s="24">
        <f t="shared" si="5"/>
        <v>5</v>
      </c>
      <c r="Q11" s="24">
        <f>11+12+12+12+10+12</f>
        <v>69</v>
      </c>
      <c r="R11" s="24">
        <f t="shared" si="6"/>
        <v>11.5</v>
      </c>
      <c r="S11" s="24">
        <f t="shared" si="7"/>
        <v>105</v>
      </c>
      <c r="T11" s="24">
        <f aca="true" t="shared" si="22" ref="T11:X11">S11/7</f>
        <v>15</v>
      </c>
      <c r="U11" s="24">
        <f t="shared" si="9"/>
        <v>49</v>
      </c>
      <c r="V11" s="24">
        <f t="shared" si="22"/>
        <v>7</v>
      </c>
      <c r="W11" s="24">
        <f t="shared" si="10"/>
        <v>0</v>
      </c>
      <c r="X11" s="24">
        <f t="shared" si="22"/>
        <v>0</v>
      </c>
      <c r="Y11" s="44">
        <f t="shared" si="14"/>
        <v>90.83366666666666</v>
      </c>
      <c r="Z11" s="20"/>
    </row>
    <row r="12" spans="1:26" s="3" customFormat="1" ht="40.5" customHeight="1">
      <c r="A12" s="17">
        <v>7</v>
      </c>
      <c r="B12" s="67" t="s">
        <v>33</v>
      </c>
      <c r="C12" s="20" t="s">
        <v>24</v>
      </c>
      <c r="D12" s="20" t="s">
        <v>25</v>
      </c>
      <c r="E12" s="20" t="s">
        <v>24</v>
      </c>
      <c r="F12" s="20" t="s">
        <v>25</v>
      </c>
      <c r="G12" s="26">
        <f>31.32*7</f>
        <v>219.24</v>
      </c>
      <c r="H12" s="26">
        <f t="shared" si="0"/>
        <v>31.32</v>
      </c>
      <c r="I12" s="26">
        <f>8+8+8+8+7+8</f>
        <v>47</v>
      </c>
      <c r="J12" s="35">
        <v>7.833</v>
      </c>
      <c r="K12" s="24">
        <f>3+3+3+3+3+3</f>
        <v>18</v>
      </c>
      <c r="L12" s="34">
        <f aca="true" t="shared" si="23" ref="J12:N12">K12/6</f>
        <v>3</v>
      </c>
      <c r="M12" s="24">
        <f>2*6</f>
        <v>12</v>
      </c>
      <c r="N12" s="24">
        <f t="shared" si="23"/>
        <v>2</v>
      </c>
      <c r="O12" s="24">
        <f>7*6</f>
        <v>42</v>
      </c>
      <c r="P12" s="24">
        <f t="shared" si="5"/>
        <v>7</v>
      </c>
      <c r="Q12" s="24">
        <f>13+13+13+13+12+13</f>
        <v>77</v>
      </c>
      <c r="R12" s="24">
        <v>12.833</v>
      </c>
      <c r="S12" s="24">
        <f t="shared" si="7"/>
        <v>105</v>
      </c>
      <c r="T12" s="24">
        <f aca="true" t="shared" si="24" ref="T12:X12">S12/7</f>
        <v>15</v>
      </c>
      <c r="U12" s="24">
        <f t="shared" si="9"/>
        <v>49</v>
      </c>
      <c r="V12" s="24">
        <f t="shared" si="24"/>
        <v>7</v>
      </c>
      <c r="W12" s="24">
        <f t="shared" si="10"/>
        <v>0</v>
      </c>
      <c r="X12" s="24">
        <f t="shared" si="24"/>
        <v>0</v>
      </c>
      <c r="Y12" s="44">
        <f t="shared" si="14"/>
        <v>85.98599999999999</v>
      </c>
      <c r="Z12" s="20"/>
    </row>
    <row r="13" spans="1:26" s="3" customFormat="1" ht="40.5" customHeight="1">
      <c r="A13" s="17">
        <v>8</v>
      </c>
      <c r="B13" s="67" t="s">
        <v>34</v>
      </c>
      <c r="C13" s="20" t="s">
        <v>24</v>
      </c>
      <c r="D13" s="20" t="s">
        <v>25</v>
      </c>
      <c r="E13" s="20" t="s">
        <v>24</v>
      </c>
      <c r="F13" s="20" t="s">
        <v>25</v>
      </c>
      <c r="G13" s="26">
        <f>31.32*7</f>
        <v>219.24</v>
      </c>
      <c r="H13" s="26">
        <f t="shared" si="0"/>
        <v>31.32</v>
      </c>
      <c r="I13" s="26">
        <f>8+8+8+8+6+8</f>
        <v>46</v>
      </c>
      <c r="J13" s="34">
        <f aca="true" t="shared" si="25" ref="J13:N13">I13/6</f>
        <v>7.666666666666667</v>
      </c>
      <c r="K13" s="24">
        <f t="shared" si="15"/>
        <v>17</v>
      </c>
      <c r="L13" s="34">
        <f t="shared" si="25"/>
        <v>2.8333333333333335</v>
      </c>
      <c r="M13" s="24">
        <f>4*6</f>
        <v>24</v>
      </c>
      <c r="N13" s="24">
        <f t="shared" si="25"/>
        <v>4</v>
      </c>
      <c r="O13" s="24">
        <f>6*6</f>
        <v>36</v>
      </c>
      <c r="P13" s="24">
        <f t="shared" si="5"/>
        <v>6</v>
      </c>
      <c r="Q13" s="24">
        <f>13+12+12+13+10+12</f>
        <v>72</v>
      </c>
      <c r="R13" s="24">
        <f t="shared" si="6"/>
        <v>12</v>
      </c>
      <c r="S13" s="24">
        <f t="shared" si="7"/>
        <v>105</v>
      </c>
      <c r="T13" s="24">
        <f aca="true" t="shared" si="26" ref="T13:X13">S13/7</f>
        <v>15</v>
      </c>
      <c r="U13" s="24">
        <f t="shared" si="9"/>
        <v>49</v>
      </c>
      <c r="V13" s="24">
        <f t="shared" si="26"/>
        <v>7</v>
      </c>
      <c r="W13" s="24">
        <f t="shared" si="10"/>
        <v>0</v>
      </c>
      <c r="X13" s="24">
        <f t="shared" si="26"/>
        <v>0</v>
      </c>
      <c r="Y13" s="44">
        <f t="shared" si="14"/>
        <v>85.82</v>
      </c>
      <c r="Z13" s="20"/>
    </row>
    <row r="14" spans="1:26" s="3" customFormat="1" ht="40.5" customHeight="1">
      <c r="A14" s="17">
        <v>9</v>
      </c>
      <c r="B14" s="70" t="s">
        <v>35</v>
      </c>
      <c r="C14" s="20" t="s">
        <v>24</v>
      </c>
      <c r="D14" s="20" t="s">
        <v>25</v>
      </c>
      <c r="E14" s="20" t="s">
        <v>36</v>
      </c>
      <c r="F14" s="71" t="s">
        <v>37</v>
      </c>
      <c r="G14" s="30" t="s">
        <v>25</v>
      </c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20"/>
    </row>
    <row r="15" spans="1:26" s="3" customFormat="1" ht="40.5" customHeight="1">
      <c r="A15" s="17">
        <v>10</v>
      </c>
      <c r="B15" s="70" t="s">
        <v>38</v>
      </c>
      <c r="C15" s="20" t="s">
        <v>24</v>
      </c>
      <c r="D15" s="20" t="s">
        <v>25</v>
      </c>
      <c r="E15" s="20" t="s">
        <v>36</v>
      </c>
      <c r="F15" s="71" t="s">
        <v>37</v>
      </c>
      <c r="G15" s="30" t="s">
        <v>25</v>
      </c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20"/>
    </row>
    <row r="16" spans="1:26" s="3" customFormat="1" ht="40.5" customHeight="1">
      <c r="A16" s="17">
        <v>11</v>
      </c>
      <c r="B16" s="70" t="s">
        <v>39</v>
      </c>
      <c r="C16" s="20" t="s">
        <v>24</v>
      </c>
      <c r="D16" s="20" t="s">
        <v>25</v>
      </c>
      <c r="E16" s="20" t="s">
        <v>36</v>
      </c>
      <c r="F16" s="71" t="s">
        <v>40</v>
      </c>
      <c r="G16" s="30" t="s">
        <v>25</v>
      </c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20"/>
    </row>
    <row r="17" spans="1:26" s="3" customFormat="1" ht="40.5" customHeight="1">
      <c r="A17" s="17">
        <v>12</v>
      </c>
      <c r="B17" s="70" t="s">
        <v>41</v>
      </c>
      <c r="C17" s="20" t="s">
        <v>24</v>
      </c>
      <c r="D17" s="20" t="s">
        <v>25</v>
      </c>
      <c r="E17" s="20" t="s">
        <v>36</v>
      </c>
      <c r="F17" s="71" t="s">
        <v>42</v>
      </c>
      <c r="G17" s="30" t="s">
        <v>25</v>
      </c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20"/>
    </row>
    <row r="18" spans="1:26" s="3" customFormat="1" ht="40.5" customHeight="1">
      <c r="A18" s="17">
        <v>13</v>
      </c>
      <c r="B18" s="70" t="s">
        <v>43</v>
      </c>
      <c r="C18" s="20" t="s">
        <v>24</v>
      </c>
      <c r="D18" s="20" t="s">
        <v>25</v>
      </c>
      <c r="E18" s="20" t="s">
        <v>36</v>
      </c>
      <c r="F18" s="71" t="s">
        <v>40</v>
      </c>
      <c r="G18" s="30" t="s">
        <v>25</v>
      </c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20"/>
    </row>
  </sheetData>
  <sheetProtection/>
  <mergeCells count="25">
    <mergeCell ref="A1:Z1"/>
    <mergeCell ref="Y3:Z3"/>
    <mergeCell ref="G4:H4"/>
    <mergeCell ref="I4:J4"/>
    <mergeCell ref="K4:L4"/>
    <mergeCell ref="M4:N4"/>
    <mergeCell ref="O4:P4"/>
    <mergeCell ref="Q4:R4"/>
    <mergeCell ref="S4:T4"/>
    <mergeCell ref="U4:V4"/>
    <mergeCell ref="W4:X4"/>
    <mergeCell ref="G14:Y14"/>
    <mergeCell ref="G15:Y15"/>
    <mergeCell ref="G16:Y16"/>
    <mergeCell ref="G17:Y17"/>
    <mergeCell ref="G18:Y18"/>
    <mergeCell ref="A4:A5"/>
    <mergeCell ref="B4:B5"/>
    <mergeCell ref="C4:C5"/>
    <mergeCell ref="D4:D5"/>
    <mergeCell ref="E4:E5"/>
    <mergeCell ref="F4:F5"/>
    <mergeCell ref="Y4:Y5"/>
    <mergeCell ref="Z4:Z5"/>
    <mergeCell ref="Z6:Z18"/>
  </mergeCells>
  <dataValidations count="3">
    <dataValidation errorStyle="warning" type="custom" allowBlank="1" showErrorMessage="1" errorTitle="拒绝重复输入" error="当前输入的内容，与本区域的其他单元格内容重复。" sqref="B6 B7 B8 B9 B10 B11 B12 B13">
      <formula1>COUNTIF($C$6:$C$19,B6)&lt;2</formula1>
    </dataValidation>
    <dataValidation errorStyle="warning" type="custom" allowBlank="1" showErrorMessage="1" errorTitle="拒绝重复输入" error="当前输入的内容，与本区域的其他单元格内容重复。" sqref="G17 H17 I17 G18 H18 I18 G14:G16 H14:H16 I14:I16">
      <formula1>COUNTIF($F$18:$F$20,G17)&lt;2</formula1>
    </dataValidation>
    <dataValidation errorStyle="warning" type="custom" allowBlank="1" showErrorMessage="1" errorTitle="拒绝重复输入" error="当前输入的内容，与本区域的其他单元格内容重复。" sqref="G6:G13 H6:H13 I6:I13">
      <formula1>COUNTIF($F$13:$F$14,G6)&lt;2</formula1>
    </dataValidation>
  </dataValidations>
  <printOptions/>
  <pageMargins left="0.75" right="0.75" top="1" bottom="1" header="0.51" footer="0.51"/>
  <pageSetup orientation="landscape" paperSize="9" scale="57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5"/>
  <sheetViews>
    <sheetView view="pageBreakPreview" zoomScaleNormal="80" zoomScaleSheetLayoutView="100" workbookViewId="0" topLeftCell="A1">
      <selection activeCell="AB13" sqref="AB13"/>
    </sheetView>
  </sheetViews>
  <sheetFormatPr defaultColWidth="9.00390625" defaultRowHeight="14.25"/>
  <cols>
    <col min="1" max="1" width="6.375" style="4" customWidth="1"/>
    <col min="2" max="2" width="13.00390625" style="4" customWidth="1"/>
    <col min="3" max="5" width="6.125" style="6" customWidth="1"/>
    <col min="6" max="6" width="22.25390625" style="6" customWidth="1"/>
    <col min="7" max="8" width="8.25390625" style="6" customWidth="1"/>
    <col min="9" max="17" width="6.375" style="6" customWidth="1"/>
    <col min="18" max="18" width="6.875" style="6" customWidth="1"/>
    <col min="19" max="24" width="6.375" style="6" customWidth="1"/>
    <col min="25" max="25" width="6.75390625" style="7" customWidth="1"/>
    <col min="26" max="26" width="19.625" style="4" customWidth="1"/>
    <col min="27" max="254" width="9.00390625" style="4" customWidth="1"/>
  </cols>
  <sheetData>
    <row r="1" spans="1:26" s="1" customFormat="1" ht="33.75" customHeight="1">
      <c r="A1" s="8" t="s">
        <v>44</v>
      </c>
      <c r="B1" s="38"/>
      <c r="C1" s="10"/>
      <c r="D1" s="10"/>
      <c r="E1" s="10"/>
      <c r="F1" s="10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37"/>
      <c r="Z1" s="38"/>
    </row>
    <row r="2" spans="1:26" s="2" customFormat="1" ht="22.5" customHeight="1">
      <c r="A2" s="12" t="s">
        <v>1</v>
      </c>
      <c r="B2" s="49"/>
      <c r="C2" s="14"/>
      <c r="D2" s="14"/>
      <c r="E2" s="14"/>
      <c r="F2" s="14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39"/>
      <c r="Z2" s="40"/>
    </row>
    <row r="3" spans="1:26" s="1" customFormat="1" ht="22.5" customHeight="1">
      <c r="A3" s="12" t="s">
        <v>2</v>
      </c>
      <c r="B3" s="49"/>
      <c r="C3" s="14"/>
      <c r="D3" s="14"/>
      <c r="E3" s="14"/>
      <c r="F3" s="14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36"/>
      <c r="Y3" s="3" t="s">
        <v>3</v>
      </c>
      <c r="Z3" s="41"/>
    </row>
    <row r="4" spans="1:26" s="3" customFormat="1" ht="61.5" customHeight="1">
      <c r="A4" s="17" t="s">
        <v>4</v>
      </c>
      <c r="B4" s="20" t="s">
        <v>5</v>
      </c>
      <c r="C4" s="19" t="s">
        <v>6</v>
      </c>
      <c r="D4" s="19" t="s">
        <v>7</v>
      </c>
      <c r="E4" s="19" t="s">
        <v>8</v>
      </c>
      <c r="F4" s="20" t="s">
        <v>7</v>
      </c>
      <c r="G4" s="21" t="s">
        <v>9</v>
      </c>
      <c r="H4" s="22"/>
      <c r="I4" s="31" t="s">
        <v>10</v>
      </c>
      <c r="J4" s="31"/>
      <c r="K4" s="31" t="s">
        <v>11</v>
      </c>
      <c r="L4" s="31"/>
      <c r="M4" s="32" t="s">
        <v>12</v>
      </c>
      <c r="N4" s="33"/>
      <c r="O4" s="32" t="s">
        <v>13</v>
      </c>
      <c r="P4" s="33"/>
      <c r="Q4" s="32" t="s">
        <v>14</v>
      </c>
      <c r="R4" s="33"/>
      <c r="S4" s="31" t="s">
        <v>15</v>
      </c>
      <c r="T4" s="31"/>
      <c r="U4" s="31" t="s">
        <v>16</v>
      </c>
      <c r="V4" s="31"/>
      <c r="W4" s="31" t="s">
        <v>17</v>
      </c>
      <c r="X4" s="31"/>
      <c r="Y4" s="42" t="s">
        <v>18</v>
      </c>
      <c r="Z4" s="43" t="s">
        <v>19</v>
      </c>
    </row>
    <row r="5" spans="1:26" s="3" customFormat="1" ht="31.5" customHeight="1">
      <c r="A5" s="17"/>
      <c r="B5" s="20"/>
      <c r="C5" s="19"/>
      <c r="D5" s="19"/>
      <c r="E5" s="19"/>
      <c r="F5" s="20"/>
      <c r="G5" s="23" t="s">
        <v>20</v>
      </c>
      <c r="H5" s="24" t="s">
        <v>21</v>
      </c>
      <c r="I5" s="23" t="s">
        <v>22</v>
      </c>
      <c r="J5" s="24" t="s">
        <v>21</v>
      </c>
      <c r="K5" s="23" t="s">
        <v>22</v>
      </c>
      <c r="L5" s="24" t="s">
        <v>21</v>
      </c>
      <c r="M5" s="23" t="s">
        <v>22</v>
      </c>
      <c r="N5" s="24" t="s">
        <v>21</v>
      </c>
      <c r="O5" s="23" t="s">
        <v>22</v>
      </c>
      <c r="P5" s="24" t="s">
        <v>21</v>
      </c>
      <c r="Q5" s="23" t="s">
        <v>22</v>
      </c>
      <c r="R5" s="24" t="s">
        <v>21</v>
      </c>
      <c r="S5" s="23" t="s">
        <v>20</v>
      </c>
      <c r="T5" s="24" t="s">
        <v>21</v>
      </c>
      <c r="U5" s="23" t="s">
        <v>20</v>
      </c>
      <c r="V5" s="24" t="s">
        <v>21</v>
      </c>
      <c r="W5" s="23" t="s">
        <v>20</v>
      </c>
      <c r="X5" s="24" t="s">
        <v>21</v>
      </c>
      <c r="Y5" s="42"/>
      <c r="Z5" s="43"/>
    </row>
    <row r="6" spans="1:26" s="3" customFormat="1" ht="40.5" customHeight="1">
      <c r="A6" s="17">
        <v>1</v>
      </c>
      <c r="B6" s="67" t="s">
        <v>45</v>
      </c>
      <c r="C6" s="20" t="s">
        <v>24</v>
      </c>
      <c r="D6" s="20" t="s">
        <v>25</v>
      </c>
      <c r="E6" s="20" t="s">
        <v>24</v>
      </c>
      <c r="F6" s="20" t="s">
        <v>25</v>
      </c>
      <c r="G6" s="26">
        <f>33.12*7</f>
        <v>231.83999999999997</v>
      </c>
      <c r="H6" s="26">
        <f aca="true" t="shared" si="0" ref="H6:H12">G6/7</f>
        <v>33.12</v>
      </c>
      <c r="I6" s="26">
        <f>9+9+8+8+8+8</f>
        <v>50</v>
      </c>
      <c r="J6" s="34">
        <f aca="true" t="shared" si="1" ref="J6:N6">I6/6</f>
        <v>8.333333333333334</v>
      </c>
      <c r="K6" s="24">
        <f aca="true" t="shared" si="2" ref="K6:K11">3+3+4+3+3+3</f>
        <v>19</v>
      </c>
      <c r="L6" s="34">
        <f t="shared" si="1"/>
        <v>3.1666666666666665</v>
      </c>
      <c r="M6" s="24">
        <f aca="true" t="shared" si="3" ref="M6:M11">7.5*6</f>
        <v>45</v>
      </c>
      <c r="N6" s="24">
        <f t="shared" si="1"/>
        <v>7.5</v>
      </c>
      <c r="O6" s="24">
        <f aca="true" t="shared" si="4" ref="O6:O10">8*6</f>
        <v>48</v>
      </c>
      <c r="P6" s="34">
        <f aca="true" t="shared" si="5" ref="P6:P12">O6/6</f>
        <v>8</v>
      </c>
      <c r="Q6" s="24">
        <f>13+13+14+13+13+12</f>
        <v>78</v>
      </c>
      <c r="R6" s="24">
        <f aca="true" t="shared" si="6" ref="R6:R12">Q6/6</f>
        <v>13</v>
      </c>
      <c r="S6" s="24">
        <f aca="true" t="shared" si="7" ref="S6:S12">15*7</f>
        <v>105</v>
      </c>
      <c r="T6" s="24">
        <f aca="true" t="shared" si="8" ref="T6:X6">S6/7</f>
        <v>15</v>
      </c>
      <c r="U6" s="24">
        <f aca="true" t="shared" si="9" ref="U6:U12">7*7</f>
        <v>49</v>
      </c>
      <c r="V6" s="24">
        <f t="shared" si="8"/>
        <v>7</v>
      </c>
      <c r="W6" s="24">
        <f aca="true" t="shared" si="10" ref="W6:W12">0*0</f>
        <v>0</v>
      </c>
      <c r="X6" s="24">
        <f t="shared" si="8"/>
        <v>0</v>
      </c>
      <c r="Y6" s="44">
        <f>SUM(H6,J6,L6,N6,P6,R6,T6,V6,X6)</f>
        <v>95.12</v>
      </c>
      <c r="Z6" s="20" t="s">
        <v>46</v>
      </c>
    </row>
    <row r="7" spans="1:26" s="3" customFormat="1" ht="40.5" customHeight="1">
      <c r="A7" s="17">
        <v>2</v>
      </c>
      <c r="B7" s="67" t="s">
        <v>47</v>
      </c>
      <c r="C7" s="20" t="s">
        <v>28</v>
      </c>
      <c r="D7" s="20" t="s">
        <v>25</v>
      </c>
      <c r="E7" s="20" t="s">
        <v>28</v>
      </c>
      <c r="F7" s="20" t="s">
        <v>25</v>
      </c>
      <c r="G7" s="26">
        <f>35*7</f>
        <v>245</v>
      </c>
      <c r="H7" s="26">
        <f t="shared" si="0"/>
        <v>35</v>
      </c>
      <c r="I7" s="26">
        <f>8+8+7+7+7+7</f>
        <v>44</v>
      </c>
      <c r="J7" s="34">
        <f aca="true" t="shared" si="11" ref="J7:N7">I7/6</f>
        <v>7.333333333333333</v>
      </c>
      <c r="K7" s="24">
        <f>3+3+3+3+2+3</f>
        <v>17</v>
      </c>
      <c r="L7" s="34">
        <f t="shared" si="11"/>
        <v>2.8333333333333335</v>
      </c>
      <c r="M7" s="24">
        <f>7.5+7.5+7.5+7.5+7.5+7.5</f>
        <v>45</v>
      </c>
      <c r="N7" s="24">
        <f t="shared" si="11"/>
        <v>7.5</v>
      </c>
      <c r="O7" s="24">
        <f>8+8+8+8+8+8</f>
        <v>48</v>
      </c>
      <c r="P7" s="34">
        <f t="shared" si="5"/>
        <v>8</v>
      </c>
      <c r="Q7" s="24">
        <f>12+12+13+12+11+11</f>
        <v>71</v>
      </c>
      <c r="R7" s="24">
        <f t="shared" si="6"/>
        <v>11.833333333333334</v>
      </c>
      <c r="S7" s="24">
        <f t="shared" si="7"/>
        <v>105</v>
      </c>
      <c r="T7" s="24">
        <f aca="true" t="shared" si="12" ref="T7:X7">S7/7</f>
        <v>15</v>
      </c>
      <c r="U7" s="24">
        <f t="shared" si="9"/>
        <v>49</v>
      </c>
      <c r="V7" s="24">
        <f t="shared" si="12"/>
        <v>7</v>
      </c>
      <c r="W7" s="24">
        <f t="shared" si="10"/>
        <v>0</v>
      </c>
      <c r="X7" s="24">
        <f t="shared" si="12"/>
        <v>0</v>
      </c>
      <c r="Y7" s="44">
        <f aca="true" t="shared" si="13" ref="Y7:Y12">SUM(H7,J7,L7,N7,P7,R7,T7,V7,X7)</f>
        <v>94.5</v>
      </c>
      <c r="Z7" s="20"/>
    </row>
    <row r="8" spans="1:26" s="3" customFormat="1" ht="40.5" customHeight="1">
      <c r="A8" s="17">
        <v>3</v>
      </c>
      <c r="B8" s="67" t="s">
        <v>48</v>
      </c>
      <c r="C8" s="20" t="s">
        <v>24</v>
      </c>
      <c r="D8" s="20" t="s">
        <v>25</v>
      </c>
      <c r="E8" s="20" t="s">
        <v>24</v>
      </c>
      <c r="F8" s="20" t="s">
        <v>25</v>
      </c>
      <c r="G8" s="26">
        <f>33.48*7</f>
        <v>234.35999999999999</v>
      </c>
      <c r="H8" s="26">
        <f t="shared" si="0"/>
        <v>33.48</v>
      </c>
      <c r="I8" s="26">
        <f>8+8+8+8+8+7</f>
        <v>47</v>
      </c>
      <c r="J8" s="35">
        <f aca="true" t="shared" si="14" ref="J8:N8">I8/6</f>
        <v>7.833333333333333</v>
      </c>
      <c r="K8" s="24">
        <f>3+3+4+2+3+3</f>
        <v>18</v>
      </c>
      <c r="L8" s="34">
        <f t="shared" si="14"/>
        <v>3</v>
      </c>
      <c r="M8" s="24">
        <f t="shared" si="3"/>
        <v>45</v>
      </c>
      <c r="N8" s="24">
        <f t="shared" si="14"/>
        <v>7.5</v>
      </c>
      <c r="O8" s="24">
        <f t="shared" si="4"/>
        <v>48</v>
      </c>
      <c r="P8" s="34">
        <f t="shared" si="5"/>
        <v>8</v>
      </c>
      <c r="Q8" s="24">
        <f>13+13+13+12+11+12</f>
        <v>74</v>
      </c>
      <c r="R8" s="24">
        <f t="shared" si="6"/>
        <v>12.333333333333334</v>
      </c>
      <c r="S8" s="24">
        <f t="shared" si="7"/>
        <v>105</v>
      </c>
      <c r="T8" s="24">
        <f aca="true" t="shared" si="15" ref="T8:X8">S8/7</f>
        <v>15</v>
      </c>
      <c r="U8" s="24">
        <f t="shared" si="9"/>
        <v>49</v>
      </c>
      <c r="V8" s="24">
        <f t="shared" si="15"/>
        <v>7</v>
      </c>
      <c r="W8" s="24">
        <f t="shared" si="10"/>
        <v>0</v>
      </c>
      <c r="X8" s="24">
        <f t="shared" si="15"/>
        <v>0</v>
      </c>
      <c r="Y8" s="44">
        <f t="shared" si="13"/>
        <v>94.14666666666666</v>
      </c>
      <c r="Z8" s="20"/>
    </row>
    <row r="9" spans="1:26" s="3" customFormat="1" ht="40.5" customHeight="1">
      <c r="A9" s="17">
        <v>4</v>
      </c>
      <c r="B9" s="67" t="s">
        <v>49</v>
      </c>
      <c r="C9" s="20" t="s">
        <v>24</v>
      </c>
      <c r="D9" s="20" t="s">
        <v>25</v>
      </c>
      <c r="E9" s="20" t="s">
        <v>24</v>
      </c>
      <c r="F9" s="20" t="s">
        <v>25</v>
      </c>
      <c r="G9" s="26">
        <f>32.77*7</f>
        <v>229.39000000000001</v>
      </c>
      <c r="H9" s="26">
        <f t="shared" si="0"/>
        <v>32.77</v>
      </c>
      <c r="I9" s="26">
        <f>8+8+8+8+7+7</f>
        <v>46</v>
      </c>
      <c r="J9" s="34">
        <f aca="true" t="shared" si="16" ref="J9:N9">I9/6</f>
        <v>7.666666666666667</v>
      </c>
      <c r="K9" s="24">
        <f t="shared" si="2"/>
        <v>19</v>
      </c>
      <c r="L9" s="34">
        <f t="shared" si="16"/>
        <v>3.1666666666666665</v>
      </c>
      <c r="M9" s="24">
        <f t="shared" si="3"/>
        <v>45</v>
      </c>
      <c r="N9" s="24">
        <f t="shared" si="16"/>
        <v>7.5</v>
      </c>
      <c r="O9" s="24">
        <f t="shared" si="4"/>
        <v>48</v>
      </c>
      <c r="P9" s="34">
        <f t="shared" si="5"/>
        <v>8</v>
      </c>
      <c r="Q9" s="24">
        <f>13+13+14+13+13+11</f>
        <v>77</v>
      </c>
      <c r="R9" s="24">
        <f t="shared" si="6"/>
        <v>12.833333333333334</v>
      </c>
      <c r="S9" s="24">
        <f t="shared" si="7"/>
        <v>105</v>
      </c>
      <c r="T9" s="24">
        <f aca="true" t="shared" si="17" ref="T9:X9">S9/7</f>
        <v>15</v>
      </c>
      <c r="U9" s="24">
        <f t="shared" si="9"/>
        <v>49</v>
      </c>
      <c r="V9" s="24">
        <f t="shared" si="17"/>
        <v>7</v>
      </c>
      <c r="W9" s="24">
        <f t="shared" si="10"/>
        <v>0</v>
      </c>
      <c r="X9" s="24">
        <f t="shared" si="17"/>
        <v>0</v>
      </c>
      <c r="Y9" s="44">
        <f t="shared" si="13"/>
        <v>93.93666666666667</v>
      </c>
      <c r="Z9" s="20"/>
    </row>
    <row r="10" spans="1:26" s="3" customFormat="1" ht="40.5" customHeight="1">
      <c r="A10" s="17">
        <v>5</v>
      </c>
      <c r="B10" s="67" t="s">
        <v>50</v>
      </c>
      <c r="C10" s="20" t="s">
        <v>24</v>
      </c>
      <c r="D10" s="20" t="s">
        <v>25</v>
      </c>
      <c r="E10" s="20" t="s">
        <v>24</v>
      </c>
      <c r="F10" s="20" t="s">
        <v>25</v>
      </c>
      <c r="G10" s="26">
        <f>33.85*7</f>
        <v>236.95000000000002</v>
      </c>
      <c r="H10" s="26">
        <f t="shared" si="0"/>
        <v>33.85</v>
      </c>
      <c r="I10" s="26">
        <f>8+7+7+7+7+7</f>
        <v>43</v>
      </c>
      <c r="J10" s="35">
        <f aca="true" t="shared" si="18" ref="J10:N10">I10/6</f>
        <v>7.166666666666667</v>
      </c>
      <c r="K10" s="24">
        <f>3+3+4+2+3+3</f>
        <v>18</v>
      </c>
      <c r="L10" s="34">
        <f t="shared" si="18"/>
        <v>3</v>
      </c>
      <c r="M10" s="24">
        <f t="shared" si="3"/>
        <v>45</v>
      </c>
      <c r="N10" s="24">
        <f t="shared" si="18"/>
        <v>7.5</v>
      </c>
      <c r="O10" s="24">
        <f t="shared" si="4"/>
        <v>48</v>
      </c>
      <c r="P10" s="34">
        <f t="shared" si="5"/>
        <v>8</v>
      </c>
      <c r="Q10" s="24">
        <f>12+13+13+12+11+12</f>
        <v>73</v>
      </c>
      <c r="R10" s="24">
        <f t="shared" si="6"/>
        <v>12.166666666666666</v>
      </c>
      <c r="S10" s="24">
        <f t="shared" si="7"/>
        <v>105</v>
      </c>
      <c r="T10" s="24">
        <f aca="true" t="shared" si="19" ref="T10:X10">S10/7</f>
        <v>15</v>
      </c>
      <c r="U10" s="24">
        <f t="shared" si="9"/>
        <v>49</v>
      </c>
      <c r="V10" s="24">
        <f t="shared" si="19"/>
        <v>7</v>
      </c>
      <c r="W10" s="24">
        <f t="shared" si="10"/>
        <v>0</v>
      </c>
      <c r="X10" s="24">
        <f t="shared" si="19"/>
        <v>0</v>
      </c>
      <c r="Y10" s="44">
        <f t="shared" si="13"/>
        <v>93.68333333333334</v>
      </c>
      <c r="Z10" s="20"/>
    </row>
    <row r="11" spans="1:26" s="3" customFormat="1" ht="40.5" customHeight="1">
      <c r="A11" s="17">
        <v>6</v>
      </c>
      <c r="B11" s="67" t="s">
        <v>51</v>
      </c>
      <c r="C11" s="20" t="s">
        <v>24</v>
      </c>
      <c r="D11" s="20" t="s">
        <v>25</v>
      </c>
      <c r="E11" s="20" t="s">
        <v>24</v>
      </c>
      <c r="F11" s="20" t="s">
        <v>25</v>
      </c>
      <c r="G11" s="26">
        <f>32.77*7</f>
        <v>229.39000000000001</v>
      </c>
      <c r="H11" s="26">
        <f t="shared" si="0"/>
        <v>32.77</v>
      </c>
      <c r="I11" s="26">
        <f>8+8+7+8+7+8</f>
        <v>46</v>
      </c>
      <c r="J11" s="35">
        <f aca="true" t="shared" si="20" ref="J11:N11">I11/6</f>
        <v>7.666666666666667</v>
      </c>
      <c r="K11" s="24">
        <f t="shared" si="2"/>
        <v>19</v>
      </c>
      <c r="L11" s="35">
        <f t="shared" si="20"/>
        <v>3.1666666666666665</v>
      </c>
      <c r="M11" s="24">
        <f t="shared" si="3"/>
        <v>45</v>
      </c>
      <c r="N11" s="24">
        <f t="shared" si="20"/>
        <v>7.5</v>
      </c>
      <c r="O11" s="24">
        <f>8+8+8+8+8+8</f>
        <v>48</v>
      </c>
      <c r="P11" s="34">
        <f t="shared" si="5"/>
        <v>8</v>
      </c>
      <c r="Q11" s="24">
        <f>13+13+13+13+12+11</f>
        <v>75</v>
      </c>
      <c r="R11" s="24">
        <f t="shared" si="6"/>
        <v>12.5</v>
      </c>
      <c r="S11" s="24">
        <f t="shared" si="7"/>
        <v>105</v>
      </c>
      <c r="T11" s="24">
        <f aca="true" t="shared" si="21" ref="T11:X11">S11/7</f>
        <v>15</v>
      </c>
      <c r="U11" s="24">
        <f t="shared" si="9"/>
        <v>49</v>
      </c>
      <c r="V11" s="24">
        <f t="shared" si="21"/>
        <v>7</v>
      </c>
      <c r="W11" s="24">
        <f t="shared" si="10"/>
        <v>0</v>
      </c>
      <c r="X11" s="24">
        <f t="shared" si="21"/>
        <v>0</v>
      </c>
      <c r="Y11" s="44">
        <f t="shared" si="13"/>
        <v>93.60333333333332</v>
      </c>
      <c r="Z11" s="20"/>
    </row>
    <row r="12" spans="1:26" s="3" customFormat="1" ht="40.5" customHeight="1">
      <c r="A12" s="17">
        <v>7</v>
      </c>
      <c r="B12" s="67" t="s">
        <v>34</v>
      </c>
      <c r="C12" s="20" t="s">
        <v>24</v>
      </c>
      <c r="D12" s="20" t="s">
        <v>25</v>
      </c>
      <c r="E12" s="20" t="s">
        <v>24</v>
      </c>
      <c r="F12" s="20" t="s">
        <v>25</v>
      </c>
      <c r="G12" s="26">
        <f>32.42*7</f>
        <v>226.94</v>
      </c>
      <c r="H12" s="26">
        <f t="shared" si="0"/>
        <v>32.42</v>
      </c>
      <c r="I12" s="26">
        <f>8+8+9+8+6+8</f>
        <v>47</v>
      </c>
      <c r="J12" s="34">
        <f aca="true" t="shared" si="22" ref="J12:N12">I12/6</f>
        <v>7.833333333333333</v>
      </c>
      <c r="K12" s="24">
        <f>3+3+4+3+2+3</f>
        <v>18</v>
      </c>
      <c r="L12" s="34">
        <f t="shared" si="22"/>
        <v>3</v>
      </c>
      <c r="M12" s="24">
        <f>4+4+4+4+4+4</f>
        <v>24</v>
      </c>
      <c r="N12" s="24">
        <f t="shared" si="22"/>
        <v>4</v>
      </c>
      <c r="O12" s="24">
        <f>6+8+6+6+6+6</f>
        <v>38</v>
      </c>
      <c r="P12" s="34">
        <f t="shared" si="5"/>
        <v>6.333333333333333</v>
      </c>
      <c r="Q12" s="24">
        <f>12+12+14+13+10+12</f>
        <v>73</v>
      </c>
      <c r="R12" s="24">
        <f t="shared" si="6"/>
        <v>12.166666666666666</v>
      </c>
      <c r="S12" s="24">
        <f t="shared" si="7"/>
        <v>105</v>
      </c>
      <c r="T12" s="24">
        <f aca="true" t="shared" si="23" ref="T12:X12">S12/7</f>
        <v>15</v>
      </c>
      <c r="U12" s="24">
        <f t="shared" si="9"/>
        <v>49</v>
      </c>
      <c r="V12" s="24">
        <f t="shared" si="23"/>
        <v>7</v>
      </c>
      <c r="W12" s="24">
        <f t="shared" si="10"/>
        <v>0</v>
      </c>
      <c r="X12" s="24">
        <f t="shared" si="23"/>
        <v>0</v>
      </c>
      <c r="Y12" s="44">
        <f t="shared" si="13"/>
        <v>87.75333333333334</v>
      </c>
      <c r="Z12" s="20"/>
    </row>
    <row r="13" spans="1:26" s="3" customFormat="1" ht="40.5" customHeight="1">
      <c r="A13" s="17">
        <v>8</v>
      </c>
      <c r="B13" s="67" t="s">
        <v>41</v>
      </c>
      <c r="C13" s="20" t="s">
        <v>24</v>
      </c>
      <c r="D13" s="20" t="s">
        <v>25</v>
      </c>
      <c r="E13" s="20" t="s">
        <v>36</v>
      </c>
      <c r="F13" s="69" t="s">
        <v>42</v>
      </c>
      <c r="G13" s="30" t="s">
        <v>25</v>
      </c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20"/>
    </row>
    <row r="14" spans="1:26" s="3" customFormat="1" ht="40.5" customHeight="1">
      <c r="A14" s="17">
        <v>9</v>
      </c>
      <c r="B14" s="67" t="s">
        <v>43</v>
      </c>
      <c r="C14" s="20" t="s">
        <v>24</v>
      </c>
      <c r="D14" s="20" t="s">
        <v>25</v>
      </c>
      <c r="E14" s="20" t="s">
        <v>36</v>
      </c>
      <c r="F14" s="69" t="s">
        <v>40</v>
      </c>
      <c r="G14" s="30" t="s">
        <v>25</v>
      </c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20"/>
    </row>
    <row r="15" spans="1:26" s="3" customFormat="1" ht="40.5" customHeight="1">
      <c r="A15" s="17">
        <v>10</v>
      </c>
      <c r="B15" s="67" t="s">
        <v>52</v>
      </c>
      <c r="C15" s="20" t="s">
        <v>24</v>
      </c>
      <c r="D15" s="20" t="s">
        <v>25</v>
      </c>
      <c r="E15" s="20" t="s">
        <v>36</v>
      </c>
      <c r="F15" s="69" t="s">
        <v>37</v>
      </c>
      <c r="G15" s="30" t="s">
        <v>25</v>
      </c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20"/>
    </row>
  </sheetData>
  <sheetProtection/>
  <mergeCells count="23">
    <mergeCell ref="A1:Z1"/>
    <mergeCell ref="Y3:Z3"/>
    <mergeCell ref="G4:H4"/>
    <mergeCell ref="I4:J4"/>
    <mergeCell ref="K4:L4"/>
    <mergeCell ref="M4:N4"/>
    <mergeCell ref="O4:P4"/>
    <mergeCell ref="Q4:R4"/>
    <mergeCell ref="S4:T4"/>
    <mergeCell ref="U4:V4"/>
    <mergeCell ref="W4:X4"/>
    <mergeCell ref="G13:Y13"/>
    <mergeCell ref="G14:Y14"/>
    <mergeCell ref="G15:Y15"/>
    <mergeCell ref="A4:A5"/>
    <mergeCell ref="B4:B5"/>
    <mergeCell ref="C4:C5"/>
    <mergeCell ref="D4:D5"/>
    <mergeCell ref="E4:E5"/>
    <mergeCell ref="F4:F5"/>
    <mergeCell ref="Y4:Y5"/>
    <mergeCell ref="Z4:Z5"/>
    <mergeCell ref="Z6:Z15"/>
  </mergeCells>
  <dataValidations count="3">
    <dataValidation errorStyle="warning" type="custom" allowBlank="1" showErrorMessage="1" errorTitle="拒绝重复输入" error="当前输入的内容，与本区域的其他单元格内容重复。" sqref="B6 B7 B8 B9 B10 B11 B12">
      <formula1>COUNTIF($C$7:$C$27,B6)&lt;2</formula1>
    </dataValidation>
    <dataValidation errorStyle="warning" type="custom" allowBlank="1" showErrorMessage="1" errorTitle="拒绝重复输入" error="当前输入的内容，与本区域的其他单元格内容重复。" sqref="G6:G12 H6:H12 I6:I12">
      <formula1>COUNTIF($F$13:$F$14,G6)&lt;2</formula1>
    </dataValidation>
    <dataValidation errorStyle="warning" type="custom" allowBlank="1" showErrorMessage="1" errorTitle="拒绝重复输入" error="当前输入的内容，与本区域的其他单元格内容重复。" sqref="G13:G15 H13:H15 I13:I15">
      <formula1>COUNTIF($F$15:$F$17,G13)&lt;2</formula1>
    </dataValidation>
  </dataValidations>
  <printOptions/>
  <pageMargins left="0.75" right="0.75" top="1" bottom="1" header="0.51" footer="0.51"/>
  <pageSetup orientation="landscape" paperSize="9" scale="59"/>
</worksheet>
</file>

<file path=xl/worksheets/sheet3.xml><?xml version="1.0" encoding="utf-8"?>
<worksheet xmlns="http://schemas.openxmlformats.org/spreadsheetml/2006/main" xmlns:r="http://schemas.openxmlformats.org/officeDocument/2006/relationships">
  <dimension ref="A1:Z21"/>
  <sheetViews>
    <sheetView view="pageBreakPreview" zoomScaleNormal="80" zoomScaleSheetLayoutView="100" workbookViewId="0" topLeftCell="A1">
      <selection activeCell="A17" sqref="A17:IV17"/>
    </sheetView>
  </sheetViews>
  <sheetFormatPr defaultColWidth="9.00390625" defaultRowHeight="14.25"/>
  <cols>
    <col min="1" max="1" width="6.375" style="4" customWidth="1"/>
    <col min="2" max="2" width="16.125" style="4" customWidth="1"/>
    <col min="3" max="5" width="6.125" style="6" customWidth="1"/>
    <col min="6" max="6" width="22.25390625" style="6" customWidth="1"/>
    <col min="7" max="8" width="8.25390625" style="6" customWidth="1"/>
    <col min="9" max="24" width="6.375" style="6" customWidth="1"/>
    <col min="25" max="25" width="6.75390625" style="7" customWidth="1"/>
    <col min="26" max="26" width="18.00390625" style="4" customWidth="1"/>
    <col min="27" max="252" width="9.00390625" style="4" customWidth="1"/>
  </cols>
  <sheetData>
    <row r="1" spans="1:26" s="1" customFormat="1" ht="33.75" customHeight="1">
      <c r="A1" s="8" t="s">
        <v>53</v>
      </c>
      <c r="B1" s="38"/>
      <c r="C1" s="10"/>
      <c r="D1" s="10"/>
      <c r="E1" s="10"/>
      <c r="F1" s="10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37"/>
      <c r="Z1" s="38"/>
    </row>
    <row r="2" spans="1:26" s="2" customFormat="1" ht="22.5" customHeight="1">
      <c r="A2" s="12" t="s">
        <v>1</v>
      </c>
      <c r="B2" s="49"/>
      <c r="C2" s="14"/>
      <c r="D2" s="14"/>
      <c r="E2" s="14"/>
      <c r="F2" s="14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39"/>
      <c r="Z2" s="40"/>
    </row>
    <row r="3" spans="1:26" s="1" customFormat="1" ht="22.5" customHeight="1">
      <c r="A3" s="12" t="s">
        <v>2</v>
      </c>
      <c r="B3" s="49"/>
      <c r="C3" s="14"/>
      <c r="D3" s="14"/>
      <c r="E3" s="14"/>
      <c r="F3" s="14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36"/>
      <c r="Y3" s="3" t="s">
        <v>3</v>
      </c>
      <c r="Z3" s="41"/>
    </row>
    <row r="4" spans="1:26" s="3" customFormat="1" ht="61.5" customHeight="1">
      <c r="A4" s="17" t="s">
        <v>4</v>
      </c>
      <c r="B4" s="20" t="s">
        <v>5</v>
      </c>
      <c r="C4" s="19" t="s">
        <v>6</v>
      </c>
      <c r="D4" s="19" t="s">
        <v>7</v>
      </c>
      <c r="E4" s="19" t="s">
        <v>8</v>
      </c>
      <c r="F4" s="20" t="s">
        <v>7</v>
      </c>
      <c r="G4" s="66" t="s">
        <v>54</v>
      </c>
      <c r="H4" s="22"/>
      <c r="I4" s="31" t="s">
        <v>10</v>
      </c>
      <c r="J4" s="31"/>
      <c r="K4" s="31" t="s">
        <v>11</v>
      </c>
      <c r="L4" s="31"/>
      <c r="M4" s="32" t="s">
        <v>12</v>
      </c>
      <c r="N4" s="33"/>
      <c r="O4" s="32" t="s">
        <v>13</v>
      </c>
      <c r="P4" s="33"/>
      <c r="Q4" s="32" t="s">
        <v>14</v>
      </c>
      <c r="R4" s="33"/>
      <c r="S4" s="31" t="s">
        <v>15</v>
      </c>
      <c r="T4" s="31"/>
      <c r="U4" s="31" t="s">
        <v>16</v>
      </c>
      <c r="V4" s="31"/>
      <c r="W4" s="31" t="s">
        <v>17</v>
      </c>
      <c r="X4" s="31"/>
      <c r="Y4" s="42" t="s">
        <v>18</v>
      </c>
      <c r="Z4" s="43" t="s">
        <v>19</v>
      </c>
    </row>
    <row r="5" spans="1:26" s="3" customFormat="1" ht="31.5" customHeight="1">
      <c r="A5" s="17"/>
      <c r="B5" s="20"/>
      <c r="C5" s="19"/>
      <c r="D5" s="19"/>
      <c r="E5" s="19"/>
      <c r="F5" s="20"/>
      <c r="G5" s="23" t="s">
        <v>20</v>
      </c>
      <c r="H5" s="24" t="s">
        <v>21</v>
      </c>
      <c r="I5" s="23" t="s">
        <v>22</v>
      </c>
      <c r="J5" s="24" t="s">
        <v>21</v>
      </c>
      <c r="K5" s="23" t="s">
        <v>22</v>
      </c>
      <c r="L5" s="24" t="s">
        <v>21</v>
      </c>
      <c r="M5" s="23" t="s">
        <v>22</v>
      </c>
      <c r="N5" s="24" t="s">
        <v>21</v>
      </c>
      <c r="O5" s="23" t="s">
        <v>22</v>
      </c>
      <c r="P5" s="24" t="s">
        <v>21</v>
      </c>
      <c r="Q5" s="23" t="s">
        <v>22</v>
      </c>
      <c r="R5" s="24" t="s">
        <v>21</v>
      </c>
      <c r="S5" s="23" t="s">
        <v>20</v>
      </c>
      <c r="T5" s="24" t="s">
        <v>21</v>
      </c>
      <c r="U5" s="23" t="s">
        <v>20</v>
      </c>
      <c r="V5" s="24" t="s">
        <v>21</v>
      </c>
      <c r="W5" s="23" t="s">
        <v>20</v>
      </c>
      <c r="X5" s="24" t="s">
        <v>21</v>
      </c>
      <c r="Y5" s="42"/>
      <c r="Z5" s="43"/>
    </row>
    <row r="6" spans="1:26" s="3" customFormat="1" ht="33" customHeight="1">
      <c r="A6" s="17">
        <v>1</v>
      </c>
      <c r="B6" s="67" t="s">
        <v>55</v>
      </c>
      <c r="C6" s="20" t="s">
        <v>24</v>
      </c>
      <c r="D6" s="20" t="s">
        <v>25</v>
      </c>
      <c r="E6" s="20" t="s">
        <v>24</v>
      </c>
      <c r="F6" s="20" t="s">
        <v>25</v>
      </c>
      <c r="G6" s="26">
        <f>32.09*7</f>
        <v>224.63000000000002</v>
      </c>
      <c r="H6" s="26">
        <f aca="true" t="shared" si="0" ref="H6:H17">G6/7</f>
        <v>32.09</v>
      </c>
      <c r="I6" s="26">
        <f>8+8+8+8+8+8</f>
        <v>48</v>
      </c>
      <c r="J6" s="34">
        <f aca="true" t="shared" si="1" ref="J6:N6">I6/6</f>
        <v>8</v>
      </c>
      <c r="K6" s="24">
        <f>4+4+4+3+4+3</f>
        <v>22</v>
      </c>
      <c r="L6" s="34">
        <f t="shared" si="1"/>
        <v>3.6666666666666665</v>
      </c>
      <c r="M6" s="24">
        <f aca="true" t="shared" si="2" ref="M6:M15">7.5*6</f>
        <v>45</v>
      </c>
      <c r="N6" s="24">
        <f t="shared" si="1"/>
        <v>7.5</v>
      </c>
      <c r="O6" s="24">
        <f aca="true" t="shared" si="3" ref="O6:O15">8*6</f>
        <v>48</v>
      </c>
      <c r="P6" s="24">
        <f aca="true" t="shared" si="4" ref="P6:P17">O6/6</f>
        <v>8</v>
      </c>
      <c r="Q6" s="24">
        <f>14+14+14+13+13+13</f>
        <v>81</v>
      </c>
      <c r="R6" s="24">
        <f aca="true" t="shared" si="5" ref="R6:R17">Q6/6</f>
        <v>13.5</v>
      </c>
      <c r="S6" s="24">
        <f aca="true" t="shared" si="6" ref="S6:S17">15*7</f>
        <v>105</v>
      </c>
      <c r="T6" s="24">
        <f aca="true" t="shared" si="7" ref="T6:X6">S6/7</f>
        <v>15</v>
      </c>
      <c r="U6" s="24">
        <f aca="true" t="shared" si="8" ref="U6:U17">7*7</f>
        <v>49</v>
      </c>
      <c r="V6" s="24">
        <f t="shared" si="7"/>
        <v>7</v>
      </c>
      <c r="W6" s="24">
        <v>0</v>
      </c>
      <c r="X6" s="24">
        <f t="shared" si="7"/>
        <v>0</v>
      </c>
      <c r="Y6" s="44">
        <f>SUM(H6,J6,L6,N6,P6,R6,T6,V6,X6)</f>
        <v>94.75666666666666</v>
      </c>
      <c r="Z6" s="20" t="s">
        <v>56</v>
      </c>
    </row>
    <row r="7" spans="1:26" s="3" customFormat="1" ht="33" customHeight="1">
      <c r="A7" s="17">
        <v>2</v>
      </c>
      <c r="B7" s="67" t="s">
        <v>57</v>
      </c>
      <c r="C7" s="20" t="s">
        <v>24</v>
      </c>
      <c r="D7" s="20" t="s">
        <v>25</v>
      </c>
      <c r="E7" s="20" t="s">
        <v>24</v>
      </c>
      <c r="F7" s="20" t="s">
        <v>25</v>
      </c>
      <c r="G7" s="26">
        <f>35*7</f>
        <v>245</v>
      </c>
      <c r="H7" s="26">
        <f t="shared" si="0"/>
        <v>35</v>
      </c>
      <c r="I7" s="26">
        <f>8*3+6+7+7</f>
        <v>44</v>
      </c>
      <c r="J7" s="34">
        <f aca="true" t="shared" si="9" ref="J7:N7">I7/6</f>
        <v>7.333333333333333</v>
      </c>
      <c r="K7" s="24">
        <f>2+2+2+2+2+3</f>
        <v>13</v>
      </c>
      <c r="L7" s="34">
        <f t="shared" si="9"/>
        <v>2.1666666666666665</v>
      </c>
      <c r="M7" s="24">
        <f t="shared" si="2"/>
        <v>45</v>
      </c>
      <c r="N7" s="24">
        <f t="shared" si="9"/>
        <v>7.5</v>
      </c>
      <c r="O7" s="24">
        <f t="shared" si="3"/>
        <v>48</v>
      </c>
      <c r="P7" s="24">
        <f t="shared" si="4"/>
        <v>8</v>
      </c>
      <c r="Q7" s="24">
        <f>13+13+13+13+10+11</f>
        <v>73</v>
      </c>
      <c r="R7" s="24">
        <f t="shared" si="5"/>
        <v>12.166666666666666</v>
      </c>
      <c r="S7" s="24">
        <f t="shared" si="6"/>
        <v>105</v>
      </c>
      <c r="T7" s="24">
        <f aca="true" t="shared" si="10" ref="T7:X7">S7/7</f>
        <v>15</v>
      </c>
      <c r="U7" s="24">
        <f t="shared" si="8"/>
        <v>49</v>
      </c>
      <c r="V7" s="24">
        <f t="shared" si="10"/>
        <v>7</v>
      </c>
      <c r="W7" s="24">
        <v>0</v>
      </c>
      <c r="X7" s="24">
        <f t="shared" si="10"/>
        <v>0</v>
      </c>
      <c r="Y7" s="44">
        <f aca="true" t="shared" si="11" ref="Y7:Y17">SUM(H7,J7,L7,N7,P7,R7,T7,V7,X7)</f>
        <v>94.16666666666667</v>
      </c>
      <c r="Z7" s="20"/>
    </row>
    <row r="8" spans="1:26" s="3" customFormat="1" ht="33" customHeight="1">
      <c r="A8" s="17">
        <v>3</v>
      </c>
      <c r="B8" s="68" t="s">
        <v>58</v>
      </c>
      <c r="C8" s="20" t="s">
        <v>24</v>
      </c>
      <c r="D8" s="20" t="s">
        <v>25</v>
      </c>
      <c r="E8" s="20" t="s">
        <v>24</v>
      </c>
      <c r="F8" s="20" t="s">
        <v>25</v>
      </c>
      <c r="G8" s="26">
        <f>31.16*7</f>
        <v>218.12</v>
      </c>
      <c r="H8" s="26">
        <f t="shared" si="0"/>
        <v>31.16</v>
      </c>
      <c r="I8" s="26">
        <f>9+9+8+8+8+8</f>
        <v>50</v>
      </c>
      <c r="J8" s="35">
        <f aca="true" t="shared" si="12" ref="J8:N8">I8/6</f>
        <v>8.333333333333334</v>
      </c>
      <c r="K8" s="24">
        <f>4+3+4+3+3+3</f>
        <v>20</v>
      </c>
      <c r="L8" s="35">
        <f t="shared" si="12"/>
        <v>3.3333333333333335</v>
      </c>
      <c r="M8" s="24">
        <f t="shared" si="2"/>
        <v>45</v>
      </c>
      <c r="N8" s="24">
        <f t="shared" si="12"/>
        <v>7.5</v>
      </c>
      <c r="O8" s="24">
        <f t="shared" si="3"/>
        <v>48</v>
      </c>
      <c r="P8" s="24">
        <f t="shared" si="4"/>
        <v>8</v>
      </c>
      <c r="Q8" s="24">
        <f>14+14+14+13+13+13</f>
        <v>81</v>
      </c>
      <c r="R8" s="24">
        <f t="shared" si="5"/>
        <v>13.5</v>
      </c>
      <c r="S8" s="24">
        <f t="shared" si="6"/>
        <v>105</v>
      </c>
      <c r="T8" s="24">
        <f aca="true" t="shared" si="13" ref="T8:X8">S8/7</f>
        <v>15</v>
      </c>
      <c r="U8" s="24">
        <f t="shared" si="8"/>
        <v>49</v>
      </c>
      <c r="V8" s="24">
        <f t="shared" si="13"/>
        <v>7</v>
      </c>
      <c r="W8" s="24">
        <v>0</v>
      </c>
      <c r="X8" s="24">
        <f t="shared" si="13"/>
        <v>0</v>
      </c>
      <c r="Y8" s="44">
        <f t="shared" si="11"/>
        <v>93.82666666666667</v>
      </c>
      <c r="Z8" s="20"/>
    </row>
    <row r="9" spans="1:26" s="3" customFormat="1" ht="33" customHeight="1">
      <c r="A9" s="17">
        <v>4</v>
      </c>
      <c r="B9" s="67" t="s">
        <v>59</v>
      </c>
      <c r="C9" s="20" t="s">
        <v>24</v>
      </c>
      <c r="D9" s="20" t="s">
        <v>25</v>
      </c>
      <c r="E9" s="20" t="s">
        <v>24</v>
      </c>
      <c r="F9" s="20" t="s">
        <v>25</v>
      </c>
      <c r="G9" s="26">
        <f>34.22*7</f>
        <v>239.54</v>
      </c>
      <c r="H9" s="26">
        <f t="shared" si="0"/>
        <v>34.22</v>
      </c>
      <c r="I9" s="26">
        <f>7+8+7+6+7+7</f>
        <v>42</v>
      </c>
      <c r="J9" s="34">
        <f aca="true" t="shared" si="14" ref="J9:N9">I9/6</f>
        <v>7</v>
      </c>
      <c r="K9" s="24">
        <f>3+2+3+3+2+3</f>
        <v>16</v>
      </c>
      <c r="L9" s="34">
        <f t="shared" si="14"/>
        <v>2.6666666666666665</v>
      </c>
      <c r="M9" s="24">
        <f t="shared" si="2"/>
        <v>45</v>
      </c>
      <c r="N9" s="24">
        <f t="shared" si="14"/>
        <v>7.5</v>
      </c>
      <c r="O9" s="24">
        <f t="shared" si="3"/>
        <v>48</v>
      </c>
      <c r="P9" s="24">
        <f t="shared" si="4"/>
        <v>8</v>
      </c>
      <c r="Q9" s="24">
        <f>12+13+13+12+11+11</f>
        <v>72</v>
      </c>
      <c r="R9" s="24">
        <f t="shared" si="5"/>
        <v>12</v>
      </c>
      <c r="S9" s="24">
        <f t="shared" si="6"/>
        <v>105</v>
      </c>
      <c r="T9" s="24">
        <f aca="true" t="shared" si="15" ref="T9:X9">S9/7</f>
        <v>15</v>
      </c>
      <c r="U9" s="24">
        <f t="shared" si="8"/>
        <v>49</v>
      </c>
      <c r="V9" s="24">
        <f t="shared" si="15"/>
        <v>7</v>
      </c>
      <c r="W9" s="24">
        <v>0</v>
      </c>
      <c r="X9" s="24">
        <f t="shared" si="15"/>
        <v>0</v>
      </c>
      <c r="Y9" s="44">
        <f t="shared" si="11"/>
        <v>93.38666666666666</v>
      </c>
      <c r="Z9" s="20"/>
    </row>
    <row r="10" spans="1:26" s="3" customFormat="1" ht="33" customHeight="1">
      <c r="A10" s="17">
        <v>5</v>
      </c>
      <c r="B10" s="67" t="s">
        <v>45</v>
      </c>
      <c r="C10" s="20" t="s">
        <v>24</v>
      </c>
      <c r="D10" s="20" t="s">
        <v>25</v>
      </c>
      <c r="E10" s="20" t="s">
        <v>24</v>
      </c>
      <c r="F10" s="20" t="s">
        <v>25</v>
      </c>
      <c r="G10" s="26">
        <f>31.5*7</f>
        <v>220.5</v>
      </c>
      <c r="H10" s="26">
        <f t="shared" si="0"/>
        <v>31.5</v>
      </c>
      <c r="I10" s="26">
        <f>9+9+8+8+7+8</f>
        <v>49</v>
      </c>
      <c r="J10" s="35">
        <f aca="true" t="shared" si="16" ref="J10:N10">I10/6</f>
        <v>8.166666666666666</v>
      </c>
      <c r="K10" s="24">
        <f aca="true" t="shared" si="17" ref="K10:K14">3+3+4+3+3+3</f>
        <v>19</v>
      </c>
      <c r="L10" s="35">
        <f t="shared" si="16"/>
        <v>3.1666666666666665</v>
      </c>
      <c r="M10" s="24">
        <f t="shared" si="2"/>
        <v>45</v>
      </c>
      <c r="N10" s="24">
        <f t="shared" si="16"/>
        <v>7.5</v>
      </c>
      <c r="O10" s="24">
        <f t="shared" si="3"/>
        <v>48</v>
      </c>
      <c r="P10" s="24">
        <f t="shared" si="4"/>
        <v>8</v>
      </c>
      <c r="Q10" s="24">
        <f>14+13+14+13+12+12</f>
        <v>78</v>
      </c>
      <c r="R10" s="24">
        <f t="shared" si="5"/>
        <v>13</v>
      </c>
      <c r="S10" s="24">
        <f t="shared" si="6"/>
        <v>105</v>
      </c>
      <c r="T10" s="24">
        <f aca="true" t="shared" si="18" ref="T10:X10">S10/7</f>
        <v>15</v>
      </c>
      <c r="U10" s="24">
        <f t="shared" si="8"/>
        <v>49</v>
      </c>
      <c r="V10" s="24">
        <f t="shared" si="18"/>
        <v>7</v>
      </c>
      <c r="W10" s="24">
        <v>0</v>
      </c>
      <c r="X10" s="24">
        <f t="shared" si="18"/>
        <v>0</v>
      </c>
      <c r="Y10" s="44">
        <f t="shared" si="11"/>
        <v>93.33333333333333</v>
      </c>
      <c r="Z10" s="20"/>
    </row>
    <row r="11" spans="1:26" s="3" customFormat="1" ht="33" customHeight="1">
      <c r="A11" s="17">
        <v>6</v>
      </c>
      <c r="B11" s="67" t="s">
        <v>60</v>
      </c>
      <c r="C11" s="20" t="s">
        <v>24</v>
      </c>
      <c r="D11" s="20" t="s">
        <v>25</v>
      </c>
      <c r="E11" s="20" t="s">
        <v>24</v>
      </c>
      <c r="F11" s="20" t="s">
        <v>25</v>
      </c>
      <c r="G11" s="26">
        <f>31.84*7</f>
        <v>222.88</v>
      </c>
      <c r="H11" s="26">
        <f t="shared" si="0"/>
        <v>31.84</v>
      </c>
      <c r="I11" s="26">
        <f>8+8+7+8+8+8</f>
        <v>47</v>
      </c>
      <c r="J11" s="34">
        <f aca="true" t="shared" si="19" ref="J11:N11">I11/6</f>
        <v>7.833333333333333</v>
      </c>
      <c r="K11" s="24">
        <f t="shared" si="17"/>
        <v>19</v>
      </c>
      <c r="L11" s="34">
        <f t="shared" si="19"/>
        <v>3.1666666666666665</v>
      </c>
      <c r="M11" s="24">
        <f t="shared" si="2"/>
        <v>45</v>
      </c>
      <c r="N11" s="24">
        <f t="shared" si="19"/>
        <v>7.5</v>
      </c>
      <c r="O11" s="24">
        <f t="shared" si="3"/>
        <v>48</v>
      </c>
      <c r="P11" s="24">
        <f t="shared" si="4"/>
        <v>8</v>
      </c>
      <c r="Q11" s="24">
        <f>13+13+13+13+11+12</f>
        <v>75</v>
      </c>
      <c r="R11" s="24">
        <f t="shared" si="5"/>
        <v>12.5</v>
      </c>
      <c r="S11" s="24">
        <f t="shared" si="6"/>
        <v>105</v>
      </c>
      <c r="T11" s="24">
        <f aca="true" t="shared" si="20" ref="T11:X11">S11/7</f>
        <v>15</v>
      </c>
      <c r="U11" s="24">
        <f t="shared" si="8"/>
        <v>49</v>
      </c>
      <c r="V11" s="24">
        <f t="shared" si="20"/>
        <v>7</v>
      </c>
      <c r="W11" s="24">
        <v>0</v>
      </c>
      <c r="X11" s="24">
        <f t="shared" si="20"/>
        <v>0</v>
      </c>
      <c r="Y11" s="44">
        <f t="shared" si="11"/>
        <v>92.84</v>
      </c>
      <c r="Z11" s="20"/>
    </row>
    <row r="12" spans="1:26" s="3" customFormat="1" ht="33" customHeight="1">
      <c r="A12" s="17">
        <v>7</v>
      </c>
      <c r="B12" s="67" t="s">
        <v>61</v>
      </c>
      <c r="C12" s="20" t="s">
        <v>24</v>
      </c>
      <c r="D12" s="20" t="s">
        <v>25</v>
      </c>
      <c r="E12" s="20" t="s">
        <v>24</v>
      </c>
      <c r="F12" s="20" t="s">
        <v>25</v>
      </c>
      <c r="G12" s="26">
        <f>32.55*7</f>
        <v>227.84999999999997</v>
      </c>
      <c r="H12" s="26">
        <f t="shared" si="0"/>
        <v>32.55</v>
      </c>
      <c r="I12" s="26">
        <f>8+7+7+7+7+8</f>
        <v>44</v>
      </c>
      <c r="J12" s="35">
        <f aca="true" t="shared" si="21" ref="J12:N12">I12/6</f>
        <v>7.333333333333333</v>
      </c>
      <c r="K12" s="24">
        <f>3+3+3+3+2+3</f>
        <v>17</v>
      </c>
      <c r="L12" s="35">
        <f t="shared" si="21"/>
        <v>2.8333333333333335</v>
      </c>
      <c r="M12" s="24">
        <f t="shared" si="2"/>
        <v>45</v>
      </c>
      <c r="N12" s="24">
        <f t="shared" si="21"/>
        <v>7.5</v>
      </c>
      <c r="O12" s="24">
        <f t="shared" si="3"/>
        <v>48</v>
      </c>
      <c r="P12" s="24">
        <f t="shared" si="4"/>
        <v>8</v>
      </c>
      <c r="Q12" s="24">
        <f>13+13+13+13+11+12</f>
        <v>75</v>
      </c>
      <c r="R12" s="24">
        <f t="shared" si="5"/>
        <v>12.5</v>
      </c>
      <c r="S12" s="24">
        <f t="shared" si="6"/>
        <v>105</v>
      </c>
      <c r="T12" s="24">
        <f aca="true" t="shared" si="22" ref="T12:X12">S12/7</f>
        <v>15</v>
      </c>
      <c r="U12" s="24">
        <f t="shared" si="8"/>
        <v>49</v>
      </c>
      <c r="V12" s="24">
        <f t="shared" si="22"/>
        <v>7</v>
      </c>
      <c r="W12" s="24">
        <v>0</v>
      </c>
      <c r="X12" s="24">
        <f t="shared" si="22"/>
        <v>0</v>
      </c>
      <c r="Y12" s="44">
        <f t="shared" si="11"/>
        <v>92.71666666666667</v>
      </c>
      <c r="Z12" s="20"/>
    </row>
    <row r="13" spans="1:26" s="3" customFormat="1" ht="33" customHeight="1">
      <c r="A13" s="17">
        <v>8</v>
      </c>
      <c r="B13" s="67" t="s">
        <v>62</v>
      </c>
      <c r="C13" s="20" t="s">
        <v>24</v>
      </c>
      <c r="D13" s="20" t="s">
        <v>25</v>
      </c>
      <c r="E13" s="20" t="s">
        <v>24</v>
      </c>
      <c r="F13" s="20" t="s">
        <v>25</v>
      </c>
      <c r="G13" s="26">
        <f>30.9*7</f>
        <v>216.29999999999998</v>
      </c>
      <c r="H13" s="26">
        <f t="shared" si="0"/>
        <v>30.9</v>
      </c>
      <c r="I13" s="26">
        <f>8+8+7+8+7+8</f>
        <v>46</v>
      </c>
      <c r="J13" s="34">
        <f aca="true" t="shared" si="23" ref="J13:N13">I13/6</f>
        <v>7.666666666666667</v>
      </c>
      <c r="K13" s="24">
        <f>3*6</f>
        <v>18</v>
      </c>
      <c r="L13" s="34">
        <f t="shared" si="23"/>
        <v>3</v>
      </c>
      <c r="M13" s="24">
        <f t="shared" si="2"/>
        <v>45</v>
      </c>
      <c r="N13" s="24">
        <f t="shared" si="23"/>
        <v>7.5</v>
      </c>
      <c r="O13" s="24">
        <f t="shared" si="3"/>
        <v>48</v>
      </c>
      <c r="P13" s="24">
        <f t="shared" si="4"/>
        <v>8</v>
      </c>
      <c r="Q13" s="24">
        <f>13+13+13+13+13+13</f>
        <v>78</v>
      </c>
      <c r="R13" s="24">
        <f t="shared" si="5"/>
        <v>13</v>
      </c>
      <c r="S13" s="24">
        <f t="shared" si="6"/>
        <v>105</v>
      </c>
      <c r="T13" s="24">
        <f aca="true" t="shared" si="24" ref="T13:X13">S13/7</f>
        <v>15</v>
      </c>
      <c r="U13" s="24">
        <f t="shared" si="8"/>
        <v>49</v>
      </c>
      <c r="V13" s="24">
        <f t="shared" si="24"/>
        <v>7</v>
      </c>
      <c r="W13" s="24">
        <v>0</v>
      </c>
      <c r="X13" s="24">
        <f t="shared" si="24"/>
        <v>0</v>
      </c>
      <c r="Y13" s="44">
        <f t="shared" si="11"/>
        <v>92.06666666666666</v>
      </c>
      <c r="Z13" s="20"/>
    </row>
    <row r="14" spans="1:26" s="3" customFormat="1" ht="33" customHeight="1">
      <c r="A14" s="17">
        <v>9</v>
      </c>
      <c r="B14" s="67" t="s">
        <v>51</v>
      </c>
      <c r="C14" s="20" t="s">
        <v>24</v>
      </c>
      <c r="D14" s="20" t="s">
        <v>25</v>
      </c>
      <c r="E14" s="20" t="s">
        <v>24</v>
      </c>
      <c r="F14" s="20" t="s">
        <v>25</v>
      </c>
      <c r="G14" s="26">
        <f>31.16*7</f>
        <v>218.12</v>
      </c>
      <c r="H14" s="26">
        <f t="shared" si="0"/>
        <v>31.16</v>
      </c>
      <c r="I14" s="26">
        <f>8+8+7+8+7+8</f>
        <v>46</v>
      </c>
      <c r="J14" s="35">
        <f aca="true" t="shared" si="25" ref="J14:N14">I14/6</f>
        <v>7.666666666666667</v>
      </c>
      <c r="K14" s="24">
        <f t="shared" si="17"/>
        <v>19</v>
      </c>
      <c r="L14" s="35">
        <f t="shared" si="25"/>
        <v>3.1666666666666665</v>
      </c>
      <c r="M14" s="24">
        <f t="shared" si="2"/>
        <v>45</v>
      </c>
      <c r="N14" s="24">
        <f t="shared" si="25"/>
        <v>7.5</v>
      </c>
      <c r="O14" s="24">
        <f t="shared" si="3"/>
        <v>48</v>
      </c>
      <c r="P14" s="24">
        <f t="shared" si="4"/>
        <v>8</v>
      </c>
      <c r="Q14" s="24">
        <f>13+13+13+13+12+11</f>
        <v>75</v>
      </c>
      <c r="R14" s="24">
        <f t="shared" si="5"/>
        <v>12.5</v>
      </c>
      <c r="S14" s="24">
        <f t="shared" si="6"/>
        <v>105</v>
      </c>
      <c r="T14" s="24">
        <f aca="true" t="shared" si="26" ref="T14:X14">S14/7</f>
        <v>15</v>
      </c>
      <c r="U14" s="24">
        <f t="shared" si="8"/>
        <v>49</v>
      </c>
      <c r="V14" s="24">
        <f t="shared" si="26"/>
        <v>7</v>
      </c>
      <c r="W14" s="24">
        <v>0</v>
      </c>
      <c r="X14" s="24">
        <f t="shared" si="26"/>
        <v>0</v>
      </c>
      <c r="Y14" s="44">
        <f t="shared" si="11"/>
        <v>91.99333333333334</v>
      </c>
      <c r="Z14" s="20"/>
    </row>
    <row r="15" spans="1:26" s="3" customFormat="1" ht="33" customHeight="1">
      <c r="A15" s="17">
        <v>10</v>
      </c>
      <c r="B15" s="67" t="s">
        <v>63</v>
      </c>
      <c r="C15" s="20" t="s">
        <v>24</v>
      </c>
      <c r="D15" s="20" t="s">
        <v>25</v>
      </c>
      <c r="E15" s="20" t="s">
        <v>24</v>
      </c>
      <c r="F15" s="20" t="s">
        <v>25</v>
      </c>
      <c r="G15" s="26">
        <f>31*7</f>
        <v>217</v>
      </c>
      <c r="H15" s="26">
        <f t="shared" si="0"/>
        <v>31</v>
      </c>
      <c r="I15" s="26">
        <f>8+8+7+6+8+7</f>
        <v>44</v>
      </c>
      <c r="J15" s="35">
        <f aca="true" t="shared" si="27" ref="J15:N15">I15/6</f>
        <v>7.333333333333333</v>
      </c>
      <c r="K15" s="24">
        <f>3+2+3+3+3+3</f>
        <v>17</v>
      </c>
      <c r="L15" s="35">
        <f t="shared" si="27"/>
        <v>2.8333333333333335</v>
      </c>
      <c r="M15" s="24">
        <f t="shared" si="2"/>
        <v>45</v>
      </c>
      <c r="N15" s="24">
        <f t="shared" si="27"/>
        <v>7.5</v>
      </c>
      <c r="O15" s="24">
        <f t="shared" si="3"/>
        <v>48</v>
      </c>
      <c r="P15" s="24">
        <f t="shared" si="4"/>
        <v>8</v>
      </c>
      <c r="Q15" s="24">
        <f>13+13+13+13+12+11</f>
        <v>75</v>
      </c>
      <c r="R15" s="24">
        <f t="shared" si="5"/>
        <v>12.5</v>
      </c>
      <c r="S15" s="24">
        <f t="shared" si="6"/>
        <v>105</v>
      </c>
      <c r="T15" s="24">
        <f aca="true" t="shared" si="28" ref="T15:X15">S15/7</f>
        <v>15</v>
      </c>
      <c r="U15" s="24">
        <f t="shared" si="8"/>
        <v>49</v>
      </c>
      <c r="V15" s="24">
        <f t="shared" si="28"/>
        <v>7</v>
      </c>
      <c r="W15" s="24">
        <v>0</v>
      </c>
      <c r="X15" s="24">
        <f t="shared" si="28"/>
        <v>0</v>
      </c>
      <c r="Y15" s="44">
        <f t="shared" si="11"/>
        <v>91.16666666666667</v>
      </c>
      <c r="Z15" s="20"/>
    </row>
    <row r="16" spans="1:26" s="3" customFormat="1" ht="33" customHeight="1">
      <c r="A16" s="17">
        <v>11</v>
      </c>
      <c r="B16" s="67" t="s">
        <v>64</v>
      </c>
      <c r="C16" s="20" t="s">
        <v>24</v>
      </c>
      <c r="D16" s="20" t="s">
        <v>25</v>
      </c>
      <c r="E16" s="20" t="s">
        <v>24</v>
      </c>
      <c r="F16" s="20" t="s">
        <v>25</v>
      </c>
      <c r="G16" s="26">
        <f>30.52*7</f>
        <v>213.64</v>
      </c>
      <c r="H16" s="26">
        <f t="shared" si="0"/>
        <v>30.52</v>
      </c>
      <c r="I16" s="26">
        <f>8+9+8+7+7+8</f>
        <v>47</v>
      </c>
      <c r="J16" s="34">
        <f aca="true" t="shared" si="29" ref="J16:N16">I16/6</f>
        <v>7.833333333333333</v>
      </c>
      <c r="K16" s="24">
        <f>3+3+4+3+3+3</f>
        <v>19</v>
      </c>
      <c r="L16" s="34">
        <f t="shared" si="29"/>
        <v>3.1666666666666665</v>
      </c>
      <c r="M16" s="24">
        <f>4*6</f>
        <v>24</v>
      </c>
      <c r="N16" s="24">
        <f t="shared" si="29"/>
        <v>4</v>
      </c>
      <c r="O16" s="24">
        <f>6+6+6+6+6+6</f>
        <v>36</v>
      </c>
      <c r="P16" s="24">
        <f t="shared" si="4"/>
        <v>6</v>
      </c>
      <c r="Q16" s="24">
        <f>13+14+14+13+12+12</f>
        <v>78</v>
      </c>
      <c r="R16" s="24">
        <f t="shared" si="5"/>
        <v>13</v>
      </c>
      <c r="S16" s="24">
        <f t="shared" si="6"/>
        <v>105</v>
      </c>
      <c r="T16" s="24">
        <f aca="true" t="shared" si="30" ref="T16:X16">S16/7</f>
        <v>15</v>
      </c>
      <c r="U16" s="24">
        <f t="shared" si="8"/>
        <v>49</v>
      </c>
      <c r="V16" s="24">
        <f t="shared" si="30"/>
        <v>7</v>
      </c>
      <c r="W16" s="24">
        <v>0</v>
      </c>
      <c r="X16" s="24">
        <f t="shared" si="30"/>
        <v>0</v>
      </c>
      <c r="Y16" s="44">
        <f t="shared" si="11"/>
        <v>86.52</v>
      </c>
      <c r="Z16" s="20"/>
    </row>
    <row r="17" spans="1:26" s="3" customFormat="1" ht="33" customHeight="1">
      <c r="A17" s="17">
        <v>12</v>
      </c>
      <c r="B17" s="67" t="s">
        <v>65</v>
      </c>
      <c r="C17" s="20" t="s">
        <v>24</v>
      </c>
      <c r="D17" s="20" t="s">
        <v>25</v>
      </c>
      <c r="E17" s="20" t="s">
        <v>24</v>
      </c>
      <c r="F17" s="20" t="s">
        <v>25</v>
      </c>
      <c r="G17" s="26">
        <f>31.16*7</f>
        <v>218.12</v>
      </c>
      <c r="H17" s="26">
        <f t="shared" si="0"/>
        <v>31.16</v>
      </c>
      <c r="I17" s="26">
        <f>8+9+7+7+7+7</f>
        <v>45</v>
      </c>
      <c r="J17" s="34">
        <f aca="true" t="shared" si="31" ref="J17:N17">I17/6</f>
        <v>7.5</v>
      </c>
      <c r="K17" s="24">
        <f>3*6</f>
        <v>18</v>
      </c>
      <c r="L17" s="34">
        <f t="shared" si="31"/>
        <v>3</v>
      </c>
      <c r="M17" s="24">
        <f>4*6</f>
        <v>24</v>
      </c>
      <c r="N17" s="24">
        <f t="shared" si="31"/>
        <v>4</v>
      </c>
      <c r="O17" s="24">
        <f>6*6</f>
        <v>36</v>
      </c>
      <c r="P17" s="24">
        <f t="shared" si="4"/>
        <v>6</v>
      </c>
      <c r="Q17" s="24">
        <f>12+14+13+13+12+12</f>
        <v>76</v>
      </c>
      <c r="R17" s="24">
        <f t="shared" si="5"/>
        <v>12.666666666666666</v>
      </c>
      <c r="S17" s="24">
        <f t="shared" si="6"/>
        <v>105</v>
      </c>
      <c r="T17" s="24">
        <f aca="true" t="shared" si="32" ref="T17:X17">S17/7</f>
        <v>15</v>
      </c>
      <c r="U17" s="24">
        <f t="shared" si="8"/>
        <v>49</v>
      </c>
      <c r="V17" s="24">
        <f t="shared" si="32"/>
        <v>7</v>
      </c>
      <c r="W17" s="24">
        <v>0</v>
      </c>
      <c r="X17" s="24">
        <f t="shared" si="32"/>
        <v>0</v>
      </c>
      <c r="Y17" s="44">
        <f t="shared" si="11"/>
        <v>86.32666666666667</v>
      </c>
      <c r="Z17" s="20"/>
    </row>
    <row r="18" spans="1:26" s="3" customFormat="1" ht="33" customHeight="1">
      <c r="A18" s="17">
        <v>13</v>
      </c>
      <c r="B18" s="67" t="s">
        <v>41</v>
      </c>
      <c r="C18" s="20" t="s">
        <v>24</v>
      </c>
      <c r="D18" s="20" t="s">
        <v>25</v>
      </c>
      <c r="E18" s="20" t="s">
        <v>36</v>
      </c>
      <c r="F18" s="69" t="s">
        <v>42</v>
      </c>
      <c r="G18" s="30" t="s">
        <v>25</v>
      </c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20"/>
    </row>
    <row r="19" spans="1:26" s="3" customFormat="1" ht="33" customHeight="1">
      <c r="A19" s="17">
        <v>14</v>
      </c>
      <c r="B19" s="67" t="s">
        <v>66</v>
      </c>
      <c r="C19" s="20" t="s">
        <v>24</v>
      </c>
      <c r="D19" s="20" t="s">
        <v>25</v>
      </c>
      <c r="E19" s="20" t="s">
        <v>36</v>
      </c>
      <c r="F19" s="69" t="s">
        <v>40</v>
      </c>
      <c r="G19" s="30" t="s">
        <v>25</v>
      </c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20"/>
    </row>
    <row r="20" spans="1:26" s="3" customFormat="1" ht="33" customHeight="1">
      <c r="A20" s="17">
        <v>15</v>
      </c>
      <c r="B20" s="67" t="s">
        <v>67</v>
      </c>
      <c r="C20" s="20" t="s">
        <v>24</v>
      </c>
      <c r="D20" s="20" t="s">
        <v>25</v>
      </c>
      <c r="E20" s="20" t="s">
        <v>36</v>
      </c>
      <c r="F20" s="69" t="s">
        <v>68</v>
      </c>
      <c r="G20" s="30" t="s">
        <v>25</v>
      </c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20"/>
    </row>
    <row r="21" spans="1:26" s="3" customFormat="1" ht="33" customHeight="1">
      <c r="A21" s="17">
        <v>16</v>
      </c>
      <c r="B21" s="67" t="s">
        <v>69</v>
      </c>
      <c r="C21" s="20" t="s">
        <v>24</v>
      </c>
      <c r="D21" s="20" t="s">
        <v>25</v>
      </c>
      <c r="E21" s="20" t="s">
        <v>36</v>
      </c>
      <c r="F21" s="69" t="s">
        <v>40</v>
      </c>
      <c r="G21" s="30" t="s">
        <v>25</v>
      </c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20"/>
    </row>
  </sheetData>
  <sheetProtection/>
  <mergeCells count="24">
    <mergeCell ref="A1:Z1"/>
    <mergeCell ref="Y3:Z3"/>
    <mergeCell ref="G4:H4"/>
    <mergeCell ref="I4:J4"/>
    <mergeCell ref="K4:L4"/>
    <mergeCell ref="M4:N4"/>
    <mergeCell ref="O4:P4"/>
    <mergeCell ref="Q4:R4"/>
    <mergeCell ref="S4:T4"/>
    <mergeCell ref="U4:V4"/>
    <mergeCell ref="W4:X4"/>
    <mergeCell ref="G18:Y18"/>
    <mergeCell ref="G19:Y19"/>
    <mergeCell ref="G20:Y20"/>
    <mergeCell ref="G21:Y21"/>
    <mergeCell ref="A4:A5"/>
    <mergeCell ref="B4:B5"/>
    <mergeCell ref="C4:C5"/>
    <mergeCell ref="D4:D5"/>
    <mergeCell ref="E4:E5"/>
    <mergeCell ref="F4:F5"/>
    <mergeCell ref="Y4:Y5"/>
    <mergeCell ref="Z4:Z5"/>
    <mergeCell ref="Z6:Z21"/>
  </mergeCells>
  <dataValidations count="3">
    <dataValidation errorStyle="warning" type="custom" allowBlank="1" showErrorMessage="1" errorTitle="拒绝重复输入" error="当前输入的内容，与本区域的其他单元格内容重复。" sqref="I6 G6:G17 H6:H17 I7:I17">
      <formula1>COUNTIF($F$13:$F$14,I6)&lt;2</formula1>
    </dataValidation>
    <dataValidation errorStyle="warning" type="custom" allowBlank="1" showErrorMessage="1" errorTitle="拒绝重复输入" error="当前输入的内容，与本区域的其他单元格内容重复。" sqref="B6 B7 B8 B9 B10 B11 B12 B13 B14 B15 B16 B17">
      <formula1>COUNTIF($C$7:$C$44,B6)&lt;2</formula1>
    </dataValidation>
    <dataValidation errorStyle="warning" type="custom" allowBlank="1" showErrorMessage="1" errorTitle="拒绝重复输入" error="当前输入的内容，与本区域的其他单元格内容重复。" sqref="G21 H21 I21 G18:G20 H18:H20 I18:I20">
      <formula1>COUNTIF($F$21:$F$23,G21)&lt;2</formula1>
    </dataValidation>
  </dataValidations>
  <printOptions/>
  <pageMargins left="0.75" right="0.75" top="1" bottom="1" header="0.51" footer="0.51"/>
  <pageSetup orientation="landscape" paperSize="9" scale="5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R25"/>
  <sheetViews>
    <sheetView view="pageBreakPreview" zoomScaleNormal="80" zoomScaleSheetLayoutView="100" workbookViewId="0" topLeftCell="A1">
      <selection activeCell="AC12" sqref="AC12"/>
    </sheetView>
  </sheetViews>
  <sheetFormatPr defaultColWidth="9.00390625" defaultRowHeight="14.25"/>
  <cols>
    <col min="1" max="1" width="6.375" style="4" customWidth="1"/>
    <col min="2" max="2" width="13.875" style="4" customWidth="1"/>
    <col min="3" max="5" width="6.125" style="6" customWidth="1"/>
    <col min="6" max="6" width="12.125" style="6" customWidth="1"/>
    <col min="7" max="8" width="8.25390625" style="6" customWidth="1"/>
    <col min="9" max="17" width="6.375" style="6" customWidth="1"/>
    <col min="18" max="18" width="7.00390625" style="6" customWidth="1"/>
    <col min="19" max="24" width="6.375" style="6" customWidth="1"/>
    <col min="25" max="25" width="6.75390625" style="7" customWidth="1"/>
    <col min="26" max="26" width="18.00390625" style="4" customWidth="1"/>
    <col min="27" max="252" width="9.00390625" style="4" customWidth="1"/>
  </cols>
  <sheetData>
    <row r="1" spans="1:252" s="45" customFormat="1" ht="18" customHeight="1">
      <c r="A1" s="47" t="s">
        <v>70</v>
      </c>
      <c r="B1" s="48"/>
      <c r="C1" s="10"/>
      <c r="D1" s="10"/>
      <c r="E1" s="10"/>
      <c r="F1" s="10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62"/>
      <c r="Z1" s="48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63"/>
      <c r="AO1" s="63"/>
      <c r="AP1" s="63"/>
      <c r="AQ1" s="63"/>
      <c r="AR1" s="63"/>
      <c r="AS1" s="63"/>
      <c r="AT1" s="63"/>
      <c r="AU1" s="63"/>
      <c r="AV1" s="63"/>
      <c r="AW1" s="63"/>
      <c r="AX1" s="63"/>
      <c r="AY1" s="63"/>
      <c r="AZ1" s="63"/>
      <c r="BA1" s="63"/>
      <c r="BB1" s="63"/>
      <c r="BC1" s="63"/>
      <c r="BD1" s="63"/>
      <c r="BE1" s="63"/>
      <c r="BF1" s="63"/>
      <c r="BG1" s="63"/>
      <c r="BH1" s="63"/>
      <c r="BI1" s="63"/>
      <c r="BJ1" s="63"/>
      <c r="BK1" s="63"/>
      <c r="BL1" s="63"/>
      <c r="BM1" s="63"/>
      <c r="BN1" s="63"/>
      <c r="BO1" s="63"/>
      <c r="BP1" s="63"/>
      <c r="BQ1" s="63"/>
      <c r="BR1" s="63"/>
      <c r="BS1" s="63"/>
      <c r="BT1" s="63"/>
      <c r="BU1" s="63"/>
      <c r="BV1" s="63"/>
      <c r="BW1" s="63"/>
      <c r="BX1" s="63"/>
      <c r="BY1" s="63"/>
      <c r="BZ1" s="63"/>
      <c r="CA1" s="63"/>
      <c r="CB1" s="63"/>
      <c r="CC1" s="63"/>
      <c r="CD1" s="63"/>
      <c r="CE1" s="63"/>
      <c r="CF1" s="63"/>
      <c r="CG1" s="63"/>
      <c r="CH1" s="63"/>
      <c r="CI1" s="63"/>
      <c r="CJ1" s="63"/>
      <c r="CK1" s="63"/>
      <c r="CL1" s="63"/>
      <c r="CM1" s="63"/>
      <c r="CN1" s="63"/>
      <c r="CO1" s="63"/>
      <c r="CP1" s="63"/>
      <c r="CQ1" s="63"/>
      <c r="CR1" s="63"/>
      <c r="CS1" s="63"/>
      <c r="CT1" s="63"/>
      <c r="CU1" s="63"/>
      <c r="CV1" s="63"/>
      <c r="CW1" s="63"/>
      <c r="CX1" s="63"/>
      <c r="CY1" s="63"/>
      <c r="CZ1" s="63"/>
      <c r="DA1" s="63"/>
      <c r="DB1" s="63"/>
      <c r="DC1" s="63"/>
      <c r="DD1" s="63"/>
      <c r="DE1" s="63"/>
      <c r="DF1" s="63"/>
      <c r="DG1" s="63"/>
      <c r="DH1" s="63"/>
      <c r="DI1" s="63"/>
      <c r="DJ1" s="63"/>
      <c r="DK1" s="63"/>
      <c r="DL1" s="63"/>
      <c r="DM1" s="63"/>
      <c r="DN1" s="63"/>
      <c r="DO1" s="63"/>
      <c r="DP1" s="63"/>
      <c r="DQ1" s="63"/>
      <c r="DR1" s="63"/>
      <c r="DS1" s="63"/>
      <c r="DT1" s="63"/>
      <c r="DU1" s="63"/>
      <c r="DV1" s="63"/>
      <c r="DW1" s="63"/>
      <c r="DX1" s="63"/>
      <c r="DY1" s="63"/>
      <c r="DZ1" s="63"/>
      <c r="EA1" s="63"/>
      <c r="EB1" s="63"/>
      <c r="EC1" s="63"/>
      <c r="ED1" s="63"/>
      <c r="EE1" s="63"/>
      <c r="EF1" s="63"/>
      <c r="EG1" s="63"/>
      <c r="EH1" s="63"/>
      <c r="EI1" s="63"/>
      <c r="EJ1" s="63"/>
      <c r="EK1" s="63"/>
      <c r="EL1" s="63"/>
      <c r="EM1" s="63"/>
      <c r="EN1" s="63"/>
      <c r="EO1" s="63"/>
      <c r="EP1" s="63"/>
      <c r="EQ1" s="63"/>
      <c r="ER1" s="63"/>
      <c r="ES1" s="63"/>
      <c r="ET1" s="63"/>
      <c r="EU1" s="63"/>
      <c r="EV1" s="63"/>
      <c r="EW1" s="63"/>
      <c r="EX1" s="63"/>
      <c r="EY1" s="63"/>
      <c r="EZ1" s="63"/>
      <c r="FA1" s="63"/>
      <c r="FB1" s="63"/>
      <c r="FC1" s="63"/>
      <c r="FD1" s="63"/>
      <c r="FE1" s="63"/>
      <c r="FF1" s="63"/>
      <c r="FG1" s="63"/>
      <c r="FH1" s="63"/>
      <c r="FI1" s="63"/>
      <c r="FJ1" s="63"/>
      <c r="FK1" s="63"/>
      <c r="FL1" s="63"/>
      <c r="FM1" s="63"/>
      <c r="FN1" s="63"/>
      <c r="FO1" s="63"/>
      <c r="FP1" s="63"/>
      <c r="FQ1" s="63"/>
      <c r="FR1" s="63"/>
      <c r="FS1" s="63"/>
      <c r="FT1" s="63"/>
      <c r="FU1" s="63"/>
      <c r="FV1" s="63"/>
      <c r="FW1" s="63"/>
      <c r="FX1" s="63"/>
      <c r="FY1" s="63"/>
      <c r="FZ1" s="63"/>
      <c r="GA1" s="63"/>
      <c r="GB1" s="63"/>
      <c r="GC1" s="63"/>
      <c r="GD1" s="63"/>
      <c r="GE1" s="63"/>
      <c r="GF1" s="63"/>
      <c r="GG1" s="63"/>
      <c r="GH1" s="63"/>
      <c r="GI1" s="63"/>
      <c r="GJ1" s="63"/>
      <c r="GK1" s="63"/>
      <c r="GL1" s="63"/>
      <c r="GM1" s="63"/>
      <c r="GN1" s="63"/>
      <c r="GO1" s="63"/>
      <c r="GP1" s="63"/>
      <c r="GQ1" s="63"/>
      <c r="GR1" s="63"/>
      <c r="GS1" s="63"/>
      <c r="GT1" s="63"/>
      <c r="GU1" s="63"/>
      <c r="GV1" s="63"/>
      <c r="GW1" s="63"/>
      <c r="GX1" s="63"/>
      <c r="GY1" s="63"/>
      <c r="GZ1" s="63"/>
      <c r="HA1" s="63"/>
      <c r="HB1" s="63"/>
      <c r="HC1" s="63"/>
      <c r="HD1" s="63"/>
      <c r="HE1" s="63"/>
      <c r="HF1" s="63"/>
      <c r="HG1" s="63"/>
      <c r="HH1" s="63"/>
      <c r="HI1" s="63"/>
      <c r="HJ1" s="63"/>
      <c r="HK1" s="63"/>
      <c r="HL1" s="63"/>
      <c r="HM1" s="63"/>
      <c r="HN1" s="63"/>
      <c r="HO1" s="63"/>
      <c r="HP1" s="63"/>
      <c r="HQ1" s="63"/>
      <c r="HR1" s="63"/>
      <c r="HS1" s="63"/>
      <c r="HT1" s="63"/>
      <c r="HU1" s="63"/>
      <c r="HV1" s="63"/>
      <c r="HW1" s="63"/>
      <c r="HX1" s="63"/>
      <c r="HY1" s="63"/>
      <c r="HZ1" s="63"/>
      <c r="IA1" s="63"/>
      <c r="IB1" s="63"/>
      <c r="IC1" s="63"/>
      <c r="ID1" s="63"/>
      <c r="IE1" s="63"/>
      <c r="IF1" s="63"/>
      <c r="IG1" s="63"/>
      <c r="IH1" s="63"/>
      <c r="II1" s="63"/>
      <c r="IJ1" s="63"/>
      <c r="IK1" s="63"/>
      <c r="IL1" s="63"/>
      <c r="IM1" s="63"/>
      <c r="IN1" s="63"/>
      <c r="IO1" s="63"/>
      <c r="IP1" s="63"/>
      <c r="IQ1" s="63"/>
      <c r="IR1" s="63"/>
    </row>
    <row r="2" spans="1:26" s="2" customFormat="1" ht="22.5" customHeight="1">
      <c r="A2" s="12" t="s">
        <v>1</v>
      </c>
      <c r="B2" s="49"/>
      <c r="C2" s="14"/>
      <c r="D2" s="14"/>
      <c r="E2" s="14"/>
      <c r="F2" s="14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39"/>
      <c r="Z2" s="40"/>
    </row>
    <row r="3" spans="1:26" s="1" customFormat="1" ht="22.5" customHeight="1">
      <c r="A3" s="12" t="s">
        <v>2</v>
      </c>
      <c r="B3" s="49"/>
      <c r="C3" s="14"/>
      <c r="D3" s="14"/>
      <c r="E3" s="14"/>
      <c r="F3" s="14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36"/>
      <c r="Y3" s="3" t="s">
        <v>3</v>
      </c>
      <c r="Z3" s="41"/>
    </row>
    <row r="4" spans="1:252" s="46" customFormat="1" ht="24" customHeight="1">
      <c r="A4" s="50" t="s">
        <v>4</v>
      </c>
      <c r="B4" s="18" t="s">
        <v>5</v>
      </c>
      <c r="C4" s="51" t="s">
        <v>6</v>
      </c>
      <c r="D4" s="51" t="s">
        <v>7</v>
      </c>
      <c r="E4" s="51" t="s">
        <v>8</v>
      </c>
      <c r="F4" s="18" t="s">
        <v>7</v>
      </c>
      <c r="G4" s="52" t="s">
        <v>9</v>
      </c>
      <c r="H4" s="53"/>
      <c r="I4" s="57" t="s">
        <v>10</v>
      </c>
      <c r="J4" s="57"/>
      <c r="K4" s="57" t="s">
        <v>11</v>
      </c>
      <c r="L4" s="57"/>
      <c r="M4" s="58" t="s">
        <v>12</v>
      </c>
      <c r="N4" s="59"/>
      <c r="O4" s="58" t="s">
        <v>13</v>
      </c>
      <c r="P4" s="59"/>
      <c r="Q4" s="58" t="s">
        <v>14</v>
      </c>
      <c r="R4" s="59"/>
      <c r="S4" s="57" t="s">
        <v>15</v>
      </c>
      <c r="T4" s="57"/>
      <c r="U4" s="57" t="s">
        <v>16</v>
      </c>
      <c r="V4" s="57"/>
      <c r="W4" s="57" t="s">
        <v>17</v>
      </c>
      <c r="X4" s="57"/>
      <c r="Y4" s="64" t="s">
        <v>18</v>
      </c>
      <c r="Z4" s="65" t="s">
        <v>19</v>
      </c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  <c r="IO4" s="5"/>
      <c r="IP4" s="5"/>
      <c r="IQ4" s="5"/>
      <c r="IR4" s="5"/>
    </row>
    <row r="5" spans="1:252" s="46" customFormat="1" ht="24" customHeight="1">
      <c r="A5" s="50"/>
      <c r="B5" s="18"/>
      <c r="C5" s="51"/>
      <c r="D5" s="51"/>
      <c r="E5" s="51"/>
      <c r="F5" s="18"/>
      <c r="G5" s="54" t="s">
        <v>20</v>
      </c>
      <c r="H5" s="55" t="s">
        <v>21</v>
      </c>
      <c r="I5" s="54" t="s">
        <v>22</v>
      </c>
      <c r="J5" s="55" t="s">
        <v>21</v>
      </c>
      <c r="K5" s="54" t="s">
        <v>22</v>
      </c>
      <c r="L5" s="55" t="s">
        <v>21</v>
      </c>
      <c r="M5" s="54" t="s">
        <v>22</v>
      </c>
      <c r="N5" s="55" t="s">
        <v>21</v>
      </c>
      <c r="O5" s="54" t="s">
        <v>22</v>
      </c>
      <c r="P5" s="55" t="s">
        <v>21</v>
      </c>
      <c r="Q5" s="54" t="s">
        <v>22</v>
      </c>
      <c r="R5" s="55" t="s">
        <v>21</v>
      </c>
      <c r="S5" s="54" t="s">
        <v>20</v>
      </c>
      <c r="T5" s="55" t="s">
        <v>21</v>
      </c>
      <c r="U5" s="54" t="s">
        <v>20</v>
      </c>
      <c r="V5" s="55" t="s">
        <v>21</v>
      </c>
      <c r="W5" s="54" t="s">
        <v>20</v>
      </c>
      <c r="X5" s="55" t="s">
        <v>21</v>
      </c>
      <c r="Y5" s="64"/>
      <c r="Z5" s="6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  <c r="IR5" s="5"/>
    </row>
    <row r="6" spans="1:26" s="3" customFormat="1" ht="33" customHeight="1">
      <c r="A6" s="17">
        <v>1</v>
      </c>
      <c r="B6" s="28" t="s">
        <v>58</v>
      </c>
      <c r="C6" s="20" t="s">
        <v>24</v>
      </c>
      <c r="D6" s="20" t="s">
        <v>25</v>
      </c>
      <c r="E6" s="20" t="s">
        <v>24</v>
      </c>
      <c r="F6" s="20" t="s">
        <v>25</v>
      </c>
      <c r="G6" s="26">
        <f>29.79*7</f>
        <v>208.53</v>
      </c>
      <c r="H6" s="26">
        <f aca="true" t="shared" si="0" ref="H6:H21">G6/7</f>
        <v>29.79</v>
      </c>
      <c r="I6" s="26">
        <f>9+9+9+8+8+8</f>
        <v>51</v>
      </c>
      <c r="J6" s="34">
        <f aca="true" t="shared" si="1" ref="J6:N6">I6/6</f>
        <v>8.5</v>
      </c>
      <c r="K6" s="24">
        <f>4+4+4+3+3+3</f>
        <v>21</v>
      </c>
      <c r="L6" s="34">
        <f t="shared" si="1"/>
        <v>3.5</v>
      </c>
      <c r="M6" s="24">
        <f aca="true" t="shared" si="2" ref="M6:M17">7.5*6</f>
        <v>45</v>
      </c>
      <c r="N6" s="24">
        <f t="shared" si="1"/>
        <v>7.5</v>
      </c>
      <c r="O6" s="24">
        <f aca="true" t="shared" si="3" ref="O6:O11">8*6</f>
        <v>48</v>
      </c>
      <c r="P6" s="24">
        <f aca="true" t="shared" si="4" ref="P6:P21">O6/6</f>
        <v>8</v>
      </c>
      <c r="Q6" s="24">
        <f>14+13+14+13+14+13</f>
        <v>81</v>
      </c>
      <c r="R6" s="24">
        <f aca="true" t="shared" si="5" ref="R6:R21">Q6/6</f>
        <v>13.5</v>
      </c>
      <c r="S6" s="24">
        <f aca="true" t="shared" si="6" ref="S6:S10">15*7</f>
        <v>105</v>
      </c>
      <c r="T6" s="24">
        <f aca="true" t="shared" si="7" ref="T6:X6">S6/7</f>
        <v>15</v>
      </c>
      <c r="U6" s="24">
        <f aca="true" t="shared" si="8" ref="U6:U21">7*7</f>
        <v>49</v>
      </c>
      <c r="V6" s="24">
        <f t="shared" si="7"/>
        <v>7</v>
      </c>
      <c r="W6" s="24">
        <v>0</v>
      </c>
      <c r="X6" s="24">
        <f t="shared" si="7"/>
        <v>0</v>
      </c>
      <c r="Y6" s="44">
        <f>SUM(H6,J6,L6,N6,P6,R6,T6,V6,X6)</f>
        <v>92.78999999999999</v>
      </c>
      <c r="Z6" s="20" t="s">
        <v>71</v>
      </c>
    </row>
    <row r="7" spans="1:26" s="3" customFormat="1" ht="33" customHeight="1">
      <c r="A7" s="17">
        <v>2</v>
      </c>
      <c r="B7" s="28" t="s">
        <v>59</v>
      </c>
      <c r="C7" s="20" t="s">
        <v>24</v>
      </c>
      <c r="D7" s="20" t="s">
        <v>25</v>
      </c>
      <c r="E7" s="20" t="s">
        <v>24</v>
      </c>
      <c r="F7" s="20" t="s">
        <v>25</v>
      </c>
      <c r="G7" s="26">
        <f>32.71*7</f>
        <v>228.97</v>
      </c>
      <c r="H7" s="26">
        <f t="shared" si="0"/>
        <v>32.71</v>
      </c>
      <c r="I7" s="26">
        <f>8+7+7+6+7+7</f>
        <v>42</v>
      </c>
      <c r="J7" s="34">
        <f aca="true" t="shared" si="9" ref="J7:N7">I7/6</f>
        <v>7</v>
      </c>
      <c r="K7" s="24">
        <f aca="true" t="shared" si="10" ref="K7:K12">3+3+3+3+2+3</f>
        <v>17</v>
      </c>
      <c r="L7" s="34">
        <f t="shared" si="9"/>
        <v>2.8333333333333335</v>
      </c>
      <c r="M7" s="24">
        <f t="shared" si="2"/>
        <v>45</v>
      </c>
      <c r="N7" s="24">
        <f t="shared" si="9"/>
        <v>7.5</v>
      </c>
      <c r="O7" s="24">
        <f t="shared" si="3"/>
        <v>48</v>
      </c>
      <c r="P7" s="24">
        <f t="shared" si="4"/>
        <v>8</v>
      </c>
      <c r="Q7" s="24">
        <f>12+13+13+12+11+11</f>
        <v>72</v>
      </c>
      <c r="R7" s="24">
        <f t="shared" si="5"/>
        <v>12</v>
      </c>
      <c r="S7" s="24">
        <f t="shared" si="6"/>
        <v>105</v>
      </c>
      <c r="T7" s="24">
        <f aca="true" t="shared" si="11" ref="T7:X7">S7/7</f>
        <v>15</v>
      </c>
      <c r="U7" s="24">
        <f t="shared" si="8"/>
        <v>49</v>
      </c>
      <c r="V7" s="24">
        <f t="shared" si="11"/>
        <v>7</v>
      </c>
      <c r="W7" s="24">
        <v>0</v>
      </c>
      <c r="X7" s="24">
        <f t="shared" si="11"/>
        <v>0</v>
      </c>
      <c r="Y7" s="44">
        <f aca="true" t="shared" si="12" ref="Y7:Y21">SUM(H7,J7,L7,N7,P7,R7,T7,V7,X7)</f>
        <v>92.04333333333334</v>
      </c>
      <c r="Z7" s="20"/>
    </row>
    <row r="8" spans="1:26" s="3" customFormat="1" ht="33" customHeight="1">
      <c r="A8" s="17">
        <v>3</v>
      </c>
      <c r="B8" s="28" t="s">
        <v>67</v>
      </c>
      <c r="C8" s="20" t="s">
        <v>24</v>
      </c>
      <c r="D8" s="20" t="s">
        <v>25</v>
      </c>
      <c r="E8" s="20" t="s">
        <v>24</v>
      </c>
      <c r="F8" s="20" t="s">
        <v>25</v>
      </c>
      <c r="G8" s="26">
        <f>29.79*7</f>
        <v>208.53</v>
      </c>
      <c r="H8" s="26">
        <f t="shared" si="0"/>
        <v>29.79</v>
      </c>
      <c r="I8" s="26">
        <f>8+8+9+8+8+8</f>
        <v>49</v>
      </c>
      <c r="J8" s="35">
        <f aca="true" t="shared" si="13" ref="J8:N8">I8/6</f>
        <v>8.166666666666666</v>
      </c>
      <c r="K8" s="24">
        <f>3+3+4+3+3+3</f>
        <v>19</v>
      </c>
      <c r="L8" s="34">
        <f t="shared" si="13"/>
        <v>3.1666666666666665</v>
      </c>
      <c r="M8" s="24">
        <f t="shared" si="2"/>
        <v>45</v>
      </c>
      <c r="N8" s="24">
        <f t="shared" si="13"/>
        <v>7.5</v>
      </c>
      <c r="O8" s="24">
        <f t="shared" si="3"/>
        <v>48</v>
      </c>
      <c r="P8" s="24">
        <f t="shared" si="4"/>
        <v>8</v>
      </c>
      <c r="Q8" s="24">
        <f>14+14+14+12+12+13</f>
        <v>79</v>
      </c>
      <c r="R8" s="24">
        <f t="shared" si="5"/>
        <v>13.166666666666666</v>
      </c>
      <c r="S8" s="24">
        <f t="shared" si="6"/>
        <v>105</v>
      </c>
      <c r="T8" s="24">
        <f aca="true" t="shared" si="14" ref="T8:X8">S8/7</f>
        <v>15</v>
      </c>
      <c r="U8" s="24">
        <f t="shared" si="8"/>
        <v>49</v>
      </c>
      <c r="V8" s="24">
        <f t="shared" si="14"/>
        <v>7</v>
      </c>
      <c r="W8" s="24">
        <v>0</v>
      </c>
      <c r="X8" s="24">
        <f t="shared" si="14"/>
        <v>0</v>
      </c>
      <c r="Y8" s="44">
        <f t="shared" si="12"/>
        <v>91.78999999999999</v>
      </c>
      <c r="Z8" s="20"/>
    </row>
    <row r="9" spans="1:26" s="3" customFormat="1" ht="33" customHeight="1">
      <c r="A9" s="17">
        <v>4</v>
      </c>
      <c r="B9" s="28" t="s">
        <v>55</v>
      </c>
      <c r="C9" s="20" t="s">
        <v>24</v>
      </c>
      <c r="D9" s="20" t="s">
        <v>25</v>
      </c>
      <c r="E9" s="20" t="s">
        <v>24</v>
      </c>
      <c r="F9" s="20" t="s">
        <v>25</v>
      </c>
      <c r="G9" s="26">
        <f>30.53*7</f>
        <v>213.71</v>
      </c>
      <c r="H9" s="26">
        <f t="shared" si="0"/>
        <v>30.53</v>
      </c>
      <c r="I9" s="26">
        <f>8+8+8+8+7+8</f>
        <v>47</v>
      </c>
      <c r="J9" s="34">
        <f aca="true" t="shared" si="15" ref="J9:N9">I9/6</f>
        <v>7.833333333333333</v>
      </c>
      <c r="K9" s="24">
        <f>4+3+4+3+3+3</f>
        <v>20</v>
      </c>
      <c r="L9" s="34">
        <f t="shared" si="15"/>
        <v>3.3333333333333335</v>
      </c>
      <c r="M9" s="24">
        <f t="shared" si="2"/>
        <v>45</v>
      </c>
      <c r="N9" s="24">
        <f t="shared" si="15"/>
        <v>7.5</v>
      </c>
      <c r="O9" s="24">
        <f t="shared" si="3"/>
        <v>48</v>
      </c>
      <c r="P9" s="24">
        <f t="shared" si="4"/>
        <v>8</v>
      </c>
      <c r="Q9" s="24">
        <f>14+12+13+11+12+12</f>
        <v>74</v>
      </c>
      <c r="R9" s="24">
        <f t="shared" si="5"/>
        <v>12.333333333333334</v>
      </c>
      <c r="S9" s="24">
        <f t="shared" si="6"/>
        <v>105</v>
      </c>
      <c r="T9" s="24">
        <f aca="true" t="shared" si="16" ref="T9:X9">S9/7</f>
        <v>15</v>
      </c>
      <c r="U9" s="24">
        <f t="shared" si="8"/>
        <v>49</v>
      </c>
      <c r="V9" s="24">
        <f t="shared" si="16"/>
        <v>7</v>
      </c>
      <c r="W9" s="24">
        <v>0</v>
      </c>
      <c r="X9" s="24">
        <f t="shared" si="16"/>
        <v>0</v>
      </c>
      <c r="Y9" s="44">
        <f t="shared" si="12"/>
        <v>91.53</v>
      </c>
      <c r="Z9" s="20"/>
    </row>
    <row r="10" spans="1:26" s="3" customFormat="1" ht="33" customHeight="1">
      <c r="A10" s="17">
        <v>5</v>
      </c>
      <c r="B10" s="28" t="s">
        <v>47</v>
      </c>
      <c r="C10" s="20" t="s">
        <v>24</v>
      </c>
      <c r="D10" s="20" t="s">
        <v>25</v>
      </c>
      <c r="E10" s="20" t="s">
        <v>24</v>
      </c>
      <c r="F10" s="20" t="s">
        <v>25</v>
      </c>
      <c r="G10" s="26">
        <f>31.82*7</f>
        <v>222.74</v>
      </c>
      <c r="H10" s="26">
        <f t="shared" si="0"/>
        <v>31.82</v>
      </c>
      <c r="I10" s="26">
        <f>8+8+7+7+7+7</f>
        <v>44</v>
      </c>
      <c r="J10" s="34">
        <f aca="true" t="shared" si="17" ref="J10:N10">I10/6</f>
        <v>7.333333333333333</v>
      </c>
      <c r="K10" s="24">
        <f t="shared" si="10"/>
        <v>17</v>
      </c>
      <c r="L10" s="34">
        <f t="shared" si="17"/>
        <v>2.8333333333333335</v>
      </c>
      <c r="M10" s="24">
        <f t="shared" si="2"/>
        <v>45</v>
      </c>
      <c r="N10" s="24">
        <f t="shared" si="17"/>
        <v>7.5</v>
      </c>
      <c r="O10" s="24">
        <f t="shared" si="3"/>
        <v>48</v>
      </c>
      <c r="P10" s="24">
        <f t="shared" si="4"/>
        <v>8</v>
      </c>
      <c r="Q10" s="24">
        <f>12+12+13+11+11+11</f>
        <v>70</v>
      </c>
      <c r="R10" s="24">
        <f t="shared" si="5"/>
        <v>11.666666666666666</v>
      </c>
      <c r="S10" s="24">
        <f t="shared" si="6"/>
        <v>105</v>
      </c>
      <c r="T10" s="24">
        <f aca="true" t="shared" si="18" ref="T10:X10">S10/7</f>
        <v>15</v>
      </c>
      <c r="U10" s="24">
        <f t="shared" si="8"/>
        <v>49</v>
      </c>
      <c r="V10" s="24">
        <f t="shared" si="18"/>
        <v>7</v>
      </c>
      <c r="W10" s="24">
        <v>0</v>
      </c>
      <c r="X10" s="24">
        <f t="shared" si="18"/>
        <v>0</v>
      </c>
      <c r="Y10" s="44">
        <f t="shared" si="12"/>
        <v>91.15333333333334</v>
      </c>
      <c r="Z10" s="20"/>
    </row>
    <row r="11" spans="1:26" s="3" customFormat="1" ht="33" customHeight="1">
      <c r="A11" s="17">
        <v>6</v>
      </c>
      <c r="B11" s="28" t="s">
        <v>72</v>
      </c>
      <c r="C11" s="20" t="s">
        <v>24</v>
      </c>
      <c r="D11" s="20" t="s">
        <v>25</v>
      </c>
      <c r="E11" s="20" t="s">
        <v>24</v>
      </c>
      <c r="F11" s="20" t="s">
        <v>25</v>
      </c>
      <c r="G11" s="26">
        <f>35*7</f>
        <v>245</v>
      </c>
      <c r="H11" s="26">
        <f t="shared" si="0"/>
        <v>35</v>
      </c>
      <c r="I11" s="26">
        <f>8+6+6+6+7+6</f>
        <v>39</v>
      </c>
      <c r="J11" s="34">
        <f aca="true" t="shared" si="19" ref="J11:N11">I11/6</f>
        <v>6.5</v>
      </c>
      <c r="K11" s="24">
        <f t="shared" si="10"/>
        <v>17</v>
      </c>
      <c r="L11" s="34">
        <f t="shared" si="19"/>
        <v>2.8333333333333335</v>
      </c>
      <c r="M11" s="24">
        <f t="shared" si="2"/>
        <v>45</v>
      </c>
      <c r="N11" s="24">
        <f t="shared" si="19"/>
        <v>7.5</v>
      </c>
      <c r="O11" s="24">
        <f t="shared" si="3"/>
        <v>48</v>
      </c>
      <c r="P11" s="24">
        <f t="shared" si="4"/>
        <v>8</v>
      </c>
      <c r="Q11" s="24">
        <f>12+12+13+11+10+11</f>
        <v>69</v>
      </c>
      <c r="R11" s="24">
        <f t="shared" si="5"/>
        <v>11.5</v>
      </c>
      <c r="S11" s="24">
        <f>12*7</f>
        <v>84</v>
      </c>
      <c r="T11" s="24">
        <v>12</v>
      </c>
      <c r="U11" s="24">
        <f t="shared" si="8"/>
        <v>49</v>
      </c>
      <c r="V11" s="24">
        <f>U11/7</f>
        <v>7</v>
      </c>
      <c r="W11" s="24">
        <v>0</v>
      </c>
      <c r="X11" s="24">
        <f>W11/7</f>
        <v>0</v>
      </c>
      <c r="Y11" s="44">
        <f t="shared" si="12"/>
        <v>90.33333333333334</v>
      </c>
      <c r="Z11" s="20"/>
    </row>
    <row r="12" spans="1:26" s="3" customFormat="1" ht="33" customHeight="1">
      <c r="A12" s="17">
        <v>7</v>
      </c>
      <c r="B12" s="28" t="s">
        <v>73</v>
      </c>
      <c r="C12" s="20" t="s">
        <v>24</v>
      </c>
      <c r="D12" s="20" t="s">
        <v>25</v>
      </c>
      <c r="E12" s="20" t="s">
        <v>24</v>
      </c>
      <c r="F12" s="20" t="s">
        <v>25</v>
      </c>
      <c r="G12" s="26">
        <f>30.77*7</f>
        <v>215.39</v>
      </c>
      <c r="H12" s="26">
        <f t="shared" si="0"/>
        <v>30.77</v>
      </c>
      <c r="I12" s="26">
        <f>8+8+7+7+8+7</f>
        <v>45</v>
      </c>
      <c r="J12" s="34">
        <f aca="true" t="shared" si="20" ref="J12:N12">I12/6</f>
        <v>7.5</v>
      </c>
      <c r="K12" s="24">
        <f t="shared" si="10"/>
        <v>17</v>
      </c>
      <c r="L12" s="34">
        <f t="shared" si="20"/>
        <v>2.8333333333333335</v>
      </c>
      <c r="M12" s="24">
        <f t="shared" si="2"/>
        <v>45</v>
      </c>
      <c r="N12" s="24">
        <f t="shared" si="20"/>
        <v>7.5</v>
      </c>
      <c r="O12" s="24">
        <f>7.5*6</f>
        <v>45</v>
      </c>
      <c r="P12" s="24">
        <f t="shared" si="4"/>
        <v>7.5</v>
      </c>
      <c r="Q12" s="24">
        <f>13+12+14+12+11+11</f>
        <v>73</v>
      </c>
      <c r="R12" s="24">
        <f t="shared" si="5"/>
        <v>12.166666666666666</v>
      </c>
      <c r="S12" s="24">
        <f aca="true" t="shared" si="21" ref="S12:S21">15*7</f>
        <v>105</v>
      </c>
      <c r="T12" s="24">
        <f aca="true" t="shared" si="22" ref="T12:X12">S12/7</f>
        <v>15</v>
      </c>
      <c r="U12" s="24">
        <f t="shared" si="8"/>
        <v>49</v>
      </c>
      <c r="V12" s="24">
        <f t="shared" si="22"/>
        <v>7</v>
      </c>
      <c r="W12" s="24">
        <v>0</v>
      </c>
      <c r="X12" s="24">
        <f t="shared" si="22"/>
        <v>0</v>
      </c>
      <c r="Y12" s="44">
        <f t="shared" si="12"/>
        <v>90.27</v>
      </c>
      <c r="Z12" s="20"/>
    </row>
    <row r="13" spans="1:26" s="3" customFormat="1" ht="33" customHeight="1">
      <c r="A13" s="17">
        <v>8</v>
      </c>
      <c r="B13" s="28" t="s">
        <v>62</v>
      </c>
      <c r="C13" s="20" t="s">
        <v>24</v>
      </c>
      <c r="D13" s="20" t="s">
        <v>25</v>
      </c>
      <c r="E13" s="20" t="s">
        <v>24</v>
      </c>
      <c r="F13" s="20" t="s">
        <v>25</v>
      </c>
      <c r="G13" s="26">
        <f>29.54*7</f>
        <v>206.78</v>
      </c>
      <c r="H13" s="26">
        <f t="shared" si="0"/>
        <v>29.54</v>
      </c>
      <c r="I13" s="26">
        <f>8+7+7+8+7+8</f>
        <v>45</v>
      </c>
      <c r="J13" s="34">
        <f aca="true" t="shared" si="23" ref="J13:N13">I13/6</f>
        <v>7.5</v>
      </c>
      <c r="K13" s="24">
        <f aca="true" t="shared" si="24" ref="K13:K15">3+3+3+3+3+3</f>
        <v>18</v>
      </c>
      <c r="L13" s="34">
        <f t="shared" si="23"/>
        <v>3</v>
      </c>
      <c r="M13" s="24">
        <f t="shared" si="2"/>
        <v>45</v>
      </c>
      <c r="N13" s="24">
        <f t="shared" si="23"/>
        <v>7.5</v>
      </c>
      <c r="O13" s="24">
        <f aca="true" t="shared" si="25" ref="O13:O17">8*6</f>
        <v>48</v>
      </c>
      <c r="P13" s="24">
        <f t="shared" si="4"/>
        <v>8</v>
      </c>
      <c r="Q13" s="24">
        <f>13+12+13+12+13+13</f>
        <v>76</v>
      </c>
      <c r="R13" s="24">
        <f t="shared" si="5"/>
        <v>12.666666666666666</v>
      </c>
      <c r="S13" s="24">
        <f t="shared" si="21"/>
        <v>105</v>
      </c>
      <c r="T13" s="24">
        <f aca="true" t="shared" si="26" ref="T13:X13">S13/7</f>
        <v>15</v>
      </c>
      <c r="U13" s="24">
        <f t="shared" si="8"/>
        <v>49</v>
      </c>
      <c r="V13" s="24">
        <f t="shared" si="26"/>
        <v>7</v>
      </c>
      <c r="W13" s="24">
        <v>0</v>
      </c>
      <c r="X13" s="24">
        <f t="shared" si="26"/>
        <v>0</v>
      </c>
      <c r="Y13" s="44">
        <f t="shared" si="12"/>
        <v>90.20666666666666</v>
      </c>
      <c r="Z13" s="20"/>
    </row>
    <row r="14" spans="1:26" s="3" customFormat="1" ht="33" customHeight="1">
      <c r="A14" s="17">
        <v>9</v>
      </c>
      <c r="B14" s="28" t="s">
        <v>63</v>
      </c>
      <c r="C14" s="20" t="s">
        <v>24</v>
      </c>
      <c r="D14" s="20" t="s">
        <v>25</v>
      </c>
      <c r="E14" s="20" t="s">
        <v>24</v>
      </c>
      <c r="F14" s="20" t="s">
        <v>25</v>
      </c>
      <c r="G14" s="26">
        <f>29.79*7</f>
        <v>208.53</v>
      </c>
      <c r="H14" s="26">
        <f t="shared" si="0"/>
        <v>29.79</v>
      </c>
      <c r="I14" s="26">
        <f>8+8+7+6+8+7</f>
        <v>44</v>
      </c>
      <c r="J14" s="35">
        <f aca="true" t="shared" si="27" ref="J14:N14">I14/6</f>
        <v>7.333333333333333</v>
      </c>
      <c r="K14" s="24">
        <f t="shared" si="24"/>
        <v>18</v>
      </c>
      <c r="L14" s="34">
        <f t="shared" si="27"/>
        <v>3</v>
      </c>
      <c r="M14" s="24">
        <f t="shared" si="2"/>
        <v>45</v>
      </c>
      <c r="N14" s="24">
        <f t="shared" si="27"/>
        <v>7.5</v>
      </c>
      <c r="O14" s="24">
        <f t="shared" si="25"/>
        <v>48</v>
      </c>
      <c r="P14" s="24">
        <f t="shared" si="4"/>
        <v>8</v>
      </c>
      <c r="Q14" s="24">
        <f>13+13+13+12+12+11</f>
        <v>74</v>
      </c>
      <c r="R14" s="24">
        <f t="shared" si="5"/>
        <v>12.333333333333334</v>
      </c>
      <c r="S14" s="24">
        <f t="shared" si="21"/>
        <v>105</v>
      </c>
      <c r="T14" s="24">
        <f aca="true" t="shared" si="28" ref="T14:X14">S14/7</f>
        <v>15</v>
      </c>
      <c r="U14" s="24">
        <f t="shared" si="8"/>
        <v>49</v>
      </c>
      <c r="V14" s="24">
        <f t="shared" si="28"/>
        <v>7</v>
      </c>
      <c r="W14" s="24">
        <v>0</v>
      </c>
      <c r="X14" s="24">
        <f t="shared" si="28"/>
        <v>0</v>
      </c>
      <c r="Y14" s="44">
        <f t="shared" si="12"/>
        <v>89.95666666666666</v>
      </c>
      <c r="Z14" s="20"/>
    </row>
    <row r="15" spans="1:26" s="3" customFormat="1" ht="33" customHeight="1">
      <c r="A15" s="17">
        <v>10</v>
      </c>
      <c r="B15" s="28" t="s">
        <v>74</v>
      </c>
      <c r="C15" s="20" t="s">
        <v>24</v>
      </c>
      <c r="D15" s="20" t="s">
        <v>25</v>
      </c>
      <c r="E15" s="20" t="s">
        <v>24</v>
      </c>
      <c r="F15" s="20" t="s">
        <v>25</v>
      </c>
      <c r="G15" s="26">
        <f>30.43*7</f>
        <v>213.01</v>
      </c>
      <c r="H15" s="26">
        <f t="shared" si="0"/>
        <v>30.43</v>
      </c>
      <c r="I15" s="26">
        <f>8+7+6+6+7+7</f>
        <v>41</v>
      </c>
      <c r="J15" s="35">
        <f aca="true" t="shared" si="29" ref="J15:N15">I15/6</f>
        <v>6.833333333333333</v>
      </c>
      <c r="K15" s="24">
        <f t="shared" si="24"/>
        <v>18</v>
      </c>
      <c r="L15" s="34">
        <f t="shared" si="29"/>
        <v>3</v>
      </c>
      <c r="M15" s="24">
        <f t="shared" si="2"/>
        <v>45</v>
      </c>
      <c r="N15" s="24">
        <f t="shared" si="29"/>
        <v>7.5</v>
      </c>
      <c r="O15" s="24">
        <f t="shared" si="25"/>
        <v>48</v>
      </c>
      <c r="P15" s="24">
        <f t="shared" si="4"/>
        <v>8</v>
      </c>
      <c r="Q15" s="24">
        <f>13+12+14+11+11+10</f>
        <v>71</v>
      </c>
      <c r="R15" s="24">
        <f t="shared" si="5"/>
        <v>11.833333333333334</v>
      </c>
      <c r="S15" s="24">
        <f t="shared" si="21"/>
        <v>105</v>
      </c>
      <c r="T15" s="24">
        <f aca="true" t="shared" si="30" ref="T15:X15">S15/7</f>
        <v>15</v>
      </c>
      <c r="U15" s="24">
        <f t="shared" si="8"/>
        <v>49</v>
      </c>
      <c r="V15" s="24">
        <f t="shared" si="30"/>
        <v>7</v>
      </c>
      <c r="W15" s="24">
        <v>0</v>
      </c>
      <c r="X15" s="24">
        <f t="shared" si="30"/>
        <v>0</v>
      </c>
      <c r="Y15" s="44">
        <f t="shared" si="12"/>
        <v>89.59666666666666</v>
      </c>
      <c r="Z15" s="20"/>
    </row>
    <row r="16" spans="1:26" s="3" customFormat="1" ht="33" customHeight="1">
      <c r="A16" s="17">
        <v>11</v>
      </c>
      <c r="B16" s="28" t="s">
        <v>75</v>
      </c>
      <c r="C16" s="20" t="s">
        <v>24</v>
      </c>
      <c r="D16" s="20" t="s">
        <v>25</v>
      </c>
      <c r="E16" s="20" t="s">
        <v>24</v>
      </c>
      <c r="F16" s="20" t="s">
        <v>25</v>
      </c>
      <c r="G16" s="26">
        <f aca="true" t="shared" si="31" ref="G16:G21">29.47*7</f>
        <v>206.29</v>
      </c>
      <c r="H16" s="26">
        <f t="shared" si="0"/>
        <v>29.47</v>
      </c>
      <c r="I16" s="26">
        <f>8+8+6+6+7+6</f>
        <v>41</v>
      </c>
      <c r="J16" s="34">
        <f aca="true" t="shared" si="32" ref="J16:N16">I16/6</f>
        <v>6.833333333333333</v>
      </c>
      <c r="K16" s="24">
        <f>3+3+2+3+3+2</f>
        <v>16</v>
      </c>
      <c r="L16" s="34">
        <f t="shared" si="32"/>
        <v>2.6666666666666665</v>
      </c>
      <c r="M16" s="24">
        <f t="shared" si="2"/>
        <v>45</v>
      </c>
      <c r="N16" s="24">
        <f t="shared" si="32"/>
        <v>7.5</v>
      </c>
      <c r="O16" s="24">
        <f t="shared" si="25"/>
        <v>48</v>
      </c>
      <c r="P16" s="24">
        <f t="shared" si="4"/>
        <v>8</v>
      </c>
      <c r="Q16" s="24">
        <f>12+12+14+11+10+10</f>
        <v>69</v>
      </c>
      <c r="R16" s="24">
        <f t="shared" si="5"/>
        <v>11.5</v>
      </c>
      <c r="S16" s="24">
        <f t="shared" si="21"/>
        <v>105</v>
      </c>
      <c r="T16" s="24">
        <f aca="true" t="shared" si="33" ref="T16:X16">S16/7</f>
        <v>15</v>
      </c>
      <c r="U16" s="24">
        <f t="shared" si="8"/>
        <v>49</v>
      </c>
      <c r="V16" s="24">
        <f t="shared" si="33"/>
        <v>7</v>
      </c>
      <c r="W16" s="24">
        <v>0</v>
      </c>
      <c r="X16" s="24">
        <f t="shared" si="33"/>
        <v>0</v>
      </c>
      <c r="Y16" s="44">
        <f t="shared" si="12"/>
        <v>87.97</v>
      </c>
      <c r="Z16" s="20"/>
    </row>
    <row r="17" spans="1:26" s="3" customFormat="1" ht="33" customHeight="1">
      <c r="A17" s="17">
        <v>12</v>
      </c>
      <c r="B17" s="28" t="s">
        <v>76</v>
      </c>
      <c r="C17" s="20" t="s">
        <v>24</v>
      </c>
      <c r="D17" s="20" t="s">
        <v>25</v>
      </c>
      <c r="E17" s="20" t="s">
        <v>24</v>
      </c>
      <c r="F17" s="20" t="s">
        <v>25</v>
      </c>
      <c r="G17" s="26">
        <f>29.79*7</f>
        <v>208.53</v>
      </c>
      <c r="H17" s="26">
        <f t="shared" si="0"/>
        <v>29.79</v>
      </c>
      <c r="I17" s="26">
        <f>8+8+5+6+7+6</f>
        <v>40</v>
      </c>
      <c r="J17" s="60">
        <f aca="true" t="shared" si="34" ref="J17:N17">I17/6</f>
        <v>6.666666666666667</v>
      </c>
      <c r="K17" s="24">
        <f>3+3+2+3+2+2</f>
        <v>15</v>
      </c>
      <c r="L17" s="34">
        <f t="shared" si="34"/>
        <v>2.5</v>
      </c>
      <c r="M17" s="24">
        <f t="shared" si="2"/>
        <v>45</v>
      </c>
      <c r="N17" s="24">
        <f t="shared" si="34"/>
        <v>7.5</v>
      </c>
      <c r="O17" s="24">
        <f t="shared" si="25"/>
        <v>48</v>
      </c>
      <c r="P17" s="24">
        <f t="shared" si="4"/>
        <v>8</v>
      </c>
      <c r="Q17" s="24">
        <f>12+11+14+11+10+11</f>
        <v>69</v>
      </c>
      <c r="R17" s="24">
        <f t="shared" si="5"/>
        <v>11.5</v>
      </c>
      <c r="S17" s="24">
        <f t="shared" si="21"/>
        <v>105</v>
      </c>
      <c r="T17" s="24">
        <f aca="true" t="shared" si="35" ref="T17:X17">S17/7</f>
        <v>15</v>
      </c>
      <c r="U17" s="24">
        <f t="shared" si="8"/>
        <v>49</v>
      </c>
      <c r="V17" s="24">
        <f t="shared" si="35"/>
        <v>7</v>
      </c>
      <c r="W17" s="24">
        <v>0</v>
      </c>
      <c r="X17" s="24">
        <f t="shared" si="35"/>
        <v>0</v>
      </c>
      <c r="Y17" s="44">
        <f t="shared" si="12"/>
        <v>87.95666666666666</v>
      </c>
      <c r="Z17" s="20"/>
    </row>
    <row r="18" spans="1:26" s="3" customFormat="1" ht="33" customHeight="1">
      <c r="A18" s="17">
        <v>13</v>
      </c>
      <c r="B18" s="28" t="s">
        <v>64</v>
      </c>
      <c r="C18" s="20" t="s">
        <v>24</v>
      </c>
      <c r="D18" s="20" t="s">
        <v>25</v>
      </c>
      <c r="E18" s="20" t="s">
        <v>24</v>
      </c>
      <c r="F18" s="20" t="s">
        <v>25</v>
      </c>
      <c r="G18" s="26">
        <f>29.17*7</f>
        <v>204.19</v>
      </c>
      <c r="H18" s="26">
        <f t="shared" si="0"/>
        <v>29.169999999999998</v>
      </c>
      <c r="I18" s="26">
        <f>8+8+8+7+7+8</f>
        <v>46</v>
      </c>
      <c r="J18" s="35">
        <f aca="true" t="shared" si="36" ref="J18:N18">I18/6</f>
        <v>7.666666666666667</v>
      </c>
      <c r="K18" s="24">
        <f>3+3+4+3+3+3</f>
        <v>19</v>
      </c>
      <c r="L18" s="34">
        <f t="shared" si="36"/>
        <v>3.1666666666666665</v>
      </c>
      <c r="M18" s="24">
        <f aca="true" t="shared" si="37" ref="M18:M21">4*6</f>
        <v>24</v>
      </c>
      <c r="N18" s="24">
        <f t="shared" si="36"/>
        <v>4</v>
      </c>
      <c r="O18" s="24">
        <f aca="true" t="shared" si="38" ref="O18:O21">6*6</f>
        <v>36</v>
      </c>
      <c r="P18" s="24">
        <f t="shared" si="4"/>
        <v>6</v>
      </c>
      <c r="Q18" s="24">
        <f>13+14+14+13+12+12</f>
        <v>78</v>
      </c>
      <c r="R18" s="24">
        <f t="shared" si="5"/>
        <v>13</v>
      </c>
      <c r="S18" s="24">
        <f t="shared" si="21"/>
        <v>105</v>
      </c>
      <c r="T18" s="24">
        <f aca="true" t="shared" si="39" ref="T18:X18">S18/7</f>
        <v>15</v>
      </c>
      <c r="U18" s="24">
        <f t="shared" si="8"/>
        <v>49</v>
      </c>
      <c r="V18" s="24">
        <f t="shared" si="39"/>
        <v>7</v>
      </c>
      <c r="W18" s="24">
        <v>0</v>
      </c>
      <c r="X18" s="24">
        <f t="shared" si="39"/>
        <v>0</v>
      </c>
      <c r="Y18" s="44">
        <f t="shared" si="12"/>
        <v>85.00333333333333</v>
      </c>
      <c r="Z18" s="20"/>
    </row>
    <row r="19" spans="1:26" s="3" customFormat="1" ht="33" customHeight="1">
      <c r="A19" s="17">
        <v>14</v>
      </c>
      <c r="B19" s="28" t="s">
        <v>77</v>
      </c>
      <c r="C19" s="20" t="s">
        <v>24</v>
      </c>
      <c r="D19" s="20" t="s">
        <v>25</v>
      </c>
      <c r="E19" s="20" t="s">
        <v>24</v>
      </c>
      <c r="F19" s="20" t="s">
        <v>25</v>
      </c>
      <c r="G19" s="26">
        <f>30.11*7</f>
        <v>210.76999999999998</v>
      </c>
      <c r="H19" s="26">
        <f t="shared" si="0"/>
        <v>30.109999999999996</v>
      </c>
      <c r="I19" s="26">
        <f>8+8+7+7+7+7</f>
        <v>44</v>
      </c>
      <c r="J19" s="35">
        <f aca="true" t="shared" si="40" ref="J19:N19">I19/6</f>
        <v>7.333333333333333</v>
      </c>
      <c r="K19" s="24">
        <f>3+3+3+3+2+3</f>
        <v>17</v>
      </c>
      <c r="L19" s="34">
        <f t="shared" si="40"/>
        <v>2.8333333333333335</v>
      </c>
      <c r="M19" s="24">
        <f t="shared" si="37"/>
        <v>24</v>
      </c>
      <c r="N19" s="24">
        <f t="shared" si="40"/>
        <v>4</v>
      </c>
      <c r="O19" s="24">
        <f t="shared" si="38"/>
        <v>36</v>
      </c>
      <c r="P19" s="24">
        <f t="shared" si="4"/>
        <v>6</v>
      </c>
      <c r="Q19" s="61">
        <f>13+13+13+12+12+11</f>
        <v>74</v>
      </c>
      <c r="R19" s="61">
        <f t="shared" si="5"/>
        <v>12.333333333333334</v>
      </c>
      <c r="S19" s="24">
        <f t="shared" si="21"/>
        <v>105</v>
      </c>
      <c r="T19" s="24">
        <f aca="true" t="shared" si="41" ref="T19:X19">S19/7</f>
        <v>15</v>
      </c>
      <c r="U19" s="24">
        <f t="shared" si="8"/>
        <v>49</v>
      </c>
      <c r="V19" s="24">
        <f t="shared" si="41"/>
        <v>7</v>
      </c>
      <c r="W19" s="24">
        <v>0</v>
      </c>
      <c r="X19" s="24">
        <f t="shared" si="41"/>
        <v>0</v>
      </c>
      <c r="Y19" s="44">
        <f t="shared" si="12"/>
        <v>84.61</v>
      </c>
      <c r="Z19" s="20"/>
    </row>
    <row r="20" spans="1:26" s="3" customFormat="1" ht="33" customHeight="1">
      <c r="A20" s="17">
        <v>15</v>
      </c>
      <c r="B20" s="28" t="s">
        <v>65</v>
      </c>
      <c r="C20" s="20" t="s">
        <v>24</v>
      </c>
      <c r="D20" s="20"/>
      <c r="E20" s="20" t="s">
        <v>25</v>
      </c>
      <c r="F20" s="20" t="s">
        <v>25</v>
      </c>
      <c r="G20" s="26">
        <f t="shared" si="31"/>
        <v>206.29</v>
      </c>
      <c r="H20" s="26">
        <f t="shared" si="0"/>
        <v>29.47</v>
      </c>
      <c r="I20" s="26">
        <f>8+8+7+7+7+7</f>
        <v>44</v>
      </c>
      <c r="J20" s="35">
        <f aca="true" t="shared" si="42" ref="J20:N20">I20/6</f>
        <v>7.333333333333333</v>
      </c>
      <c r="K20" s="24">
        <f>3+3+3+3+3+3</f>
        <v>18</v>
      </c>
      <c r="L20" s="34">
        <f t="shared" si="42"/>
        <v>3</v>
      </c>
      <c r="M20" s="24">
        <f t="shared" si="37"/>
        <v>24</v>
      </c>
      <c r="N20" s="24">
        <f t="shared" si="42"/>
        <v>4</v>
      </c>
      <c r="O20" s="24">
        <f t="shared" si="38"/>
        <v>36</v>
      </c>
      <c r="P20" s="24">
        <f t="shared" si="4"/>
        <v>6</v>
      </c>
      <c r="Q20" s="24">
        <f>12+13+13+12+12+12</f>
        <v>74</v>
      </c>
      <c r="R20" s="24">
        <f t="shared" si="5"/>
        <v>12.333333333333334</v>
      </c>
      <c r="S20" s="24">
        <f t="shared" si="21"/>
        <v>105</v>
      </c>
      <c r="T20" s="24">
        <f aca="true" t="shared" si="43" ref="T20:X20">S20/7</f>
        <v>15</v>
      </c>
      <c r="U20" s="24">
        <f t="shared" si="8"/>
        <v>49</v>
      </c>
      <c r="V20" s="24">
        <f t="shared" si="43"/>
        <v>7</v>
      </c>
      <c r="W20" s="24">
        <v>0</v>
      </c>
      <c r="X20" s="24">
        <f t="shared" si="43"/>
        <v>0</v>
      </c>
      <c r="Y20" s="44">
        <f t="shared" si="12"/>
        <v>84.13666666666667</v>
      </c>
      <c r="Z20" s="20"/>
    </row>
    <row r="21" spans="1:26" s="3" customFormat="1" ht="33" customHeight="1">
      <c r="A21" s="17">
        <v>16</v>
      </c>
      <c r="B21" s="28" t="s">
        <v>34</v>
      </c>
      <c r="C21" s="20" t="s">
        <v>24</v>
      </c>
      <c r="D21" s="20" t="s">
        <v>25</v>
      </c>
      <c r="E21" s="20" t="s">
        <v>24</v>
      </c>
      <c r="F21" s="20" t="s">
        <v>25</v>
      </c>
      <c r="G21" s="26">
        <f t="shared" si="31"/>
        <v>206.29</v>
      </c>
      <c r="H21" s="26">
        <f t="shared" si="0"/>
        <v>29.47</v>
      </c>
      <c r="I21" s="26">
        <f>8+8+8+8+8+6</f>
        <v>46</v>
      </c>
      <c r="J21" s="34">
        <f aca="true" t="shared" si="44" ref="J21:N21">I21/6</f>
        <v>7.666666666666667</v>
      </c>
      <c r="K21" s="24">
        <f>3+3+3+3+2+3</f>
        <v>17</v>
      </c>
      <c r="L21" s="34">
        <f t="shared" si="44"/>
        <v>2.8333333333333335</v>
      </c>
      <c r="M21" s="24">
        <f t="shared" si="37"/>
        <v>24</v>
      </c>
      <c r="N21" s="24">
        <f t="shared" si="44"/>
        <v>4</v>
      </c>
      <c r="O21" s="24">
        <f t="shared" si="38"/>
        <v>36</v>
      </c>
      <c r="P21" s="24">
        <f t="shared" si="4"/>
        <v>6</v>
      </c>
      <c r="Q21" s="24">
        <f>12+12+13+13+10+12</f>
        <v>72</v>
      </c>
      <c r="R21" s="24">
        <f t="shared" si="5"/>
        <v>12</v>
      </c>
      <c r="S21" s="24">
        <f t="shared" si="21"/>
        <v>105</v>
      </c>
      <c r="T21" s="24">
        <f aca="true" t="shared" si="45" ref="T21:X21">S21/7</f>
        <v>15</v>
      </c>
      <c r="U21" s="24">
        <f t="shared" si="8"/>
        <v>49</v>
      </c>
      <c r="V21" s="24">
        <f t="shared" si="45"/>
        <v>7</v>
      </c>
      <c r="W21" s="24">
        <v>0</v>
      </c>
      <c r="X21" s="24">
        <f t="shared" si="45"/>
        <v>0</v>
      </c>
      <c r="Y21" s="44">
        <f t="shared" si="12"/>
        <v>83.97</v>
      </c>
      <c r="Z21" s="20"/>
    </row>
    <row r="22" spans="1:26" s="3" customFormat="1" ht="30" customHeight="1">
      <c r="A22" s="17">
        <v>17</v>
      </c>
      <c r="B22" s="28" t="s">
        <v>38</v>
      </c>
      <c r="C22" s="20" t="s">
        <v>24</v>
      </c>
      <c r="D22" s="20" t="s">
        <v>25</v>
      </c>
      <c r="E22" s="20" t="s">
        <v>36</v>
      </c>
      <c r="F22" s="56" t="s">
        <v>37</v>
      </c>
      <c r="G22" s="30" t="s">
        <v>25</v>
      </c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20"/>
    </row>
    <row r="23" spans="1:26" s="3" customFormat="1" ht="30" customHeight="1">
      <c r="A23" s="17">
        <v>18</v>
      </c>
      <c r="B23" s="28" t="s">
        <v>41</v>
      </c>
      <c r="C23" s="20" t="s">
        <v>24</v>
      </c>
      <c r="D23" s="20" t="s">
        <v>25</v>
      </c>
      <c r="E23" s="20" t="s">
        <v>36</v>
      </c>
      <c r="F23" s="56" t="s">
        <v>42</v>
      </c>
      <c r="G23" s="30" t="s">
        <v>25</v>
      </c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20"/>
    </row>
    <row r="24" spans="1:26" s="3" customFormat="1" ht="30" customHeight="1">
      <c r="A24" s="17">
        <v>19</v>
      </c>
      <c r="B24" s="28" t="s">
        <v>78</v>
      </c>
      <c r="C24" s="20" t="s">
        <v>24</v>
      </c>
      <c r="D24" s="20" t="s">
        <v>25</v>
      </c>
      <c r="E24" s="20" t="s">
        <v>36</v>
      </c>
      <c r="F24" s="56" t="s">
        <v>40</v>
      </c>
      <c r="G24" s="30" t="s">
        <v>25</v>
      </c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20"/>
    </row>
    <row r="25" spans="1:26" s="3" customFormat="1" ht="30" customHeight="1">
      <c r="A25" s="17">
        <v>20</v>
      </c>
      <c r="B25" s="28" t="s">
        <v>79</v>
      </c>
      <c r="C25" s="20" t="s">
        <v>24</v>
      </c>
      <c r="D25" s="20" t="s">
        <v>25</v>
      </c>
      <c r="E25" s="20" t="s">
        <v>36</v>
      </c>
      <c r="F25" s="56" t="s">
        <v>42</v>
      </c>
      <c r="G25" s="30" t="s">
        <v>25</v>
      </c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20"/>
    </row>
  </sheetData>
  <sheetProtection/>
  <mergeCells count="24">
    <mergeCell ref="A1:Z1"/>
    <mergeCell ref="Y3:Z3"/>
    <mergeCell ref="G4:H4"/>
    <mergeCell ref="I4:J4"/>
    <mergeCell ref="K4:L4"/>
    <mergeCell ref="M4:N4"/>
    <mergeCell ref="O4:P4"/>
    <mergeCell ref="Q4:R4"/>
    <mergeCell ref="S4:T4"/>
    <mergeCell ref="U4:V4"/>
    <mergeCell ref="W4:X4"/>
    <mergeCell ref="G22:Y22"/>
    <mergeCell ref="G23:Y23"/>
    <mergeCell ref="G24:Y24"/>
    <mergeCell ref="G25:Y25"/>
    <mergeCell ref="A4:A5"/>
    <mergeCell ref="B4:B5"/>
    <mergeCell ref="C4:C5"/>
    <mergeCell ref="D4:D5"/>
    <mergeCell ref="E4:E5"/>
    <mergeCell ref="F4:F5"/>
    <mergeCell ref="Y4:Y5"/>
    <mergeCell ref="Z4:Z5"/>
    <mergeCell ref="Z6:Z25"/>
  </mergeCells>
  <dataValidations count="3">
    <dataValidation errorStyle="warning" type="custom" allowBlank="1" showErrorMessage="1" errorTitle="拒绝重复输入" error="当前输入的内容，与本区域的其他单元格内容重复。" sqref="B6 B7 B8 B9 B10 B11 B12 B13 B14 B15 B16 B17 B18 B19 B20 B21">
      <formula1>COUNTIF($C$7:$C$57,B6)&lt;2</formula1>
    </dataValidation>
    <dataValidation errorStyle="warning" type="custom" allowBlank="1" showErrorMessage="1" errorTitle="拒绝重复输入" error="当前输入的内容，与本区域的其他单元格内容重复。" sqref="G25 H25 I25 G22:G24 H22:H24 I22:I24">
      <formula1>COUNTIF($F$25:$F$27,G25)&lt;2</formula1>
    </dataValidation>
    <dataValidation errorStyle="warning" type="custom" allowBlank="1" showErrorMessage="1" errorTitle="拒绝重复输入" error="当前输入的内容，与本区域的其他单元格内容重复。" sqref="G6:G21 H6:H21 I6:I21">
      <formula1>COUNTIF($F$13:$F$14,G6)&lt;2</formula1>
    </dataValidation>
  </dataValidations>
  <printOptions/>
  <pageMargins left="0.75" right="0.75" top="1" bottom="1" header="0.51" footer="0.51"/>
  <pageSetup orientation="landscape" paperSize="9" scale="57"/>
</worksheet>
</file>

<file path=xl/worksheets/sheet5.xml><?xml version="1.0" encoding="utf-8"?>
<worksheet xmlns="http://schemas.openxmlformats.org/spreadsheetml/2006/main" xmlns:r="http://schemas.openxmlformats.org/officeDocument/2006/relationships">
  <dimension ref="A1:Z20"/>
  <sheetViews>
    <sheetView tabSelected="1" view="pageBreakPreview" zoomScaleNormal="80" zoomScaleSheetLayoutView="100" workbookViewId="0" topLeftCell="A1">
      <selection activeCell="AA9" sqref="AA9"/>
    </sheetView>
  </sheetViews>
  <sheetFormatPr defaultColWidth="9.00390625" defaultRowHeight="14.25"/>
  <cols>
    <col min="1" max="1" width="6.375" style="4" customWidth="1"/>
    <col min="2" max="2" width="13.25390625" style="5" customWidth="1"/>
    <col min="3" max="5" width="6.125" style="6" customWidth="1"/>
    <col min="6" max="6" width="15.75390625" style="6" customWidth="1"/>
    <col min="7" max="8" width="8.25390625" style="6" customWidth="1"/>
    <col min="9" max="9" width="6.375" style="6" customWidth="1"/>
    <col min="10" max="10" width="8.625" style="6" customWidth="1"/>
    <col min="11" max="17" width="6.375" style="6" customWidth="1"/>
    <col min="18" max="18" width="7.00390625" style="6" customWidth="1"/>
    <col min="19" max="24" width="6.375" style="6" customWidth="1"/>
    <col min="25" max="25" width="6.75390625" style="7" customWidth="1"/>
    <col min="26" max="26" width="18.00390625" style="4" customWidth="1"/>
    <col min="27" max="252" width="9.00390625" style="4" customWidth="1"/>
  </cols>
  <sheetData>
    <row r="1" spans="1:26" s="1" customFormat="1" ht="33.75" customHeight="1">
      <c r="A1" s="8" t="s">
        <v>80</v>
      </c>
      <c r="B1" s="9"/>
      <c r="C1" s="10"/>
      <c r="D1" s="10"/>
      <c r="E1" s="10"/>
      <c r="F1" s="10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37"/>
      <c r="Z1" s="38"/>
    </row>
    <row r="2" spans="1:26" s="2" customFormat="1" ht="22.5" customHeight="1">
      <c r="A2" s="12" t="s">
        <v>1</v>
      </c>
      <c r="B2" s="13"/>
      <c r="C2" s="14"/>
      <c r="D2" s="14"/>
      <c r="E2" s="14"/>
      <c r="F2" s="14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39"/>
      <c r="Z2" s="40"/>
    </row>
    <row r="3" spans="1:26" s="1" customFormat="1" ht="22.5" customHeight="1">
      <c r="A3" s="12" t="s">
        <v>2</v>
      </c>
      <c r="B3" s="13"/>
      <c r="C3" s="14"/>
      <c r="D3" s="14"/>
      <c r="E3" s="14"/>
      <c r="F3" s="14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36"/>
      <c r="Y3" s="3" t="s">
        <v>3</v>
      </c>
      <c r="Z3" s="41"/>
    </row>
    <row r="4" spans="1:26" s="3" customFormat="1" ht="61.5" customHeight="1">
      <c r="A4" s="17" t="s">
        <v>4</v>
      </c>
      <c r="B4" s="18" t="s">
        <v>5</v>
      </c>
      <c r="C4" s="19" t="s">
        <v>6</v>
      </c>
      <c r="D4" s="19" t="s">
        <v>7</v>
      </c>
      <c r="E4" s="19" t="s">
        <v>8</v>
      </c>
      <c r="F4" s="20" t="s">
        <v>7</v>
      </c>
      <c r="G4" s="21" t="s">
        <v>9</v>
      </c>
      <c r="H4" s="22"/>
      <c r="I4" s="31" t="s">
        <v>10</v>
      </c>
      <c r="J4" s="31"/>
      <c r="K4" s="31" t="s">
        <v>11</v>
      </c>
      <c r="L4" s="31"/>
      <c r="M4" s="32" t="s">
        <v>12</v>
      </c>
      <c r="N4" s="33"/>
      <c r="O4" s="32" t="s">
        <v>13</v>
      </c>
      <c r="P4" s="33"/>
      <c r="Q4" s="32" t="s">
        <v>14</v>
      </c>
      <c r="R4" s="33"/>
      <c r="S4" s="31" t="s">
        <v>15</v>
      </c>
      <c r="T4" s="31"/>
      <c r="U4" s="31" t="s">
        <v>16</v>
      </c>
      <c r="V4" s="31"/>
      <c r="W4" s="31" t="s">
        <v>17</v>
      </c>
      <c r="X4" s="31"/>
      <c r="Y4" s="42" t="s">
        <v>18</v>
      </c>
      <c r="Z4" s="43" t="s">
        <v>19</v>
      </c>
    </row>
    <row r="5" spans="1:26" s="3" customFormat="1" ht="31.5" customHeight="1">
      <c r="A5" s="17"/>
      <c r="B5" s="18"/>
      <c r="C5" s="19"/>
      <c r="D5" s="19"/>
      <c r="E5" s="19"/>
      <c r="F5" s="20"/>
      <c r="G5" s="23" t="s">
        <v>20</v>
      </c>
      <c r="H5" s="24" t="s">
        <v>21</v>
      </c>
      <c r="I5" s="23" t="s">
        <v>22</v>
      </c>
      <c r="J5" s="24" t="s">
        <v>21</v>
      </c>
      <c r="K5" s="23" t="s">
        <v>22</v>
      </c>
      <c r="L5" s="24" t="s">
        <v>21</v>
      </c>
      <c r="M5" s="23" t="s">
        <v>22</v>
      </c>
      <c r="N5" s="24" t="s">
        <v>21</v>
      </c>
      <c r="O5" s="23" t="s">
        <v>22</v>
      </c>
      <c r="P5" s="24" t="s">
        <v>21</v>
      </c>
      <c r="Q5" s="23" t="s">
        <v>22</v>
      </c>
      <c r="R5" s="24" t="s">
        <v>21</v>
      </c>
      <c r="S5" s="23" t="s">
        <v>20</v>
      </c>
      <c r="T5" s="24" t="s">
        <v>21</v>
      </c>
      <c r="U5" s="23" t="s">
        <v>20</v>
      </c>
      <c r="V5" s="24" t="s">
        <v>21</v>
      </c>
      <c r="W5" s="23" t="s">
        <v>20</v>
      </c>
      <c r="X5" s="24" t="s">
        <v>21</v>
      </c>
      <c r="Y5" s="42"/>
      <c r="Z5" s="43"/>
    </row>
    <row r="6" spans="1:26" s="3" customFormat="1" ht="33" customHeight="1">
      <c r="A6" s="17">
        <v>1</v>
      </c>
      <c r="B6" s="25" t="s">
        <v>67</v>
      </c>
      <c r="C6" s="20" t="s">
        <v>24</v>
      </c>
      <c r="D6" s="20" t="s">
        <v>25</v>
      </c>
      <c r="E6" s="20" t="s">
        <v>24</v>
      </c>
      <c r="F6" s="20" t="s">
        <v>25</v>
      </c>
      <c r="G6" s="26">
        <f>30.83*7</f>
        <v>215.81</v>
      </c>
      <c r="H6" s="26">
        <f aca="true" t="shared" si="0" ref="H6:H17">G6/7</f>
        <v>30.830000000000002</v>
      </c>
      <c r="I6" s="26">
        <f>9+8+9+8+8+8</f>
        <v>50</v>
      </c>
      <c r="J6" s="24">
        <v>8.333</v>
      </c>
      <c r="K6" s="24">
        <f>3+4+4+3+3+4</f>
        <v>21</v>
      </c>
      <c r="L6" s="34">
        <f aca="true" t="shared" si="1" ref="J6:N6">K6/6</f>
        <v>3.5</v>
      </c>
      <c r="M6" s="24">
        <f aca="true" t="shared" si="2" ref="M6:M15">7.5*6</f>
        <v>45</v>
      </c>
      <c r="N6" s="24">
        <f t="shared" si="1"/>
        <v>7.5</v>
      </c>
      <c r="O6" s="24">
        <f aca="true" t="shared" si="3" ref="O6:O14">8*6</f>
        <v>48</v>
      </c>
      <c r="P6" s="24">
        <f aca="true" t="shared" si="4" ref="P6:P17">O6/6</f>
        <v>8</v>
      </c>
      <c r="Q6" s="24">
        <f>14+14+14+14+14+13</f>
        <v>83</v>
      </c>
      <c r="R6" s="24">
        <f aca="true" t="shared" si="5" ref="R6:R17">Q6/6</f>
        <v>13.833333333333334</v>
      </c>
      <c r="S6" s="24">
        <f aca="true" t="shared" si="6" ref="S6:S17">15*7</f>
        <v>105</v>
      </c>
      <c r="T6" s="24">
        <f aca="true" t="shared" si="7" ref="T6:X6">S6/7</f>
        <v>15</v>
      </c>
      <c r="U6" s="24">
        <f aca="true" t="shared" si="8" ref="U6:U17">7*7</f>
        <v>49</v>
      </c>
      <c r="V6" s="24">
        <f t="shared" si="7"/>
        <v>7</v>
      </c>
      <c r="W6" s="24">
        <v>0</v>
      </c>
      <c r="X6" s="24">
        <f t="shared" si="7"/>
        <v>0</v>
      </c>
      <c r="Y6" s="44">
        <f>SUM(H6,J6,L6,N6,P6,R6,T6,V6)</f>
        <v>93.99633333333334</v>
      </c>
      <c r="Z6" s="20" t="s">
        <v>81</v>
      </c>
    </row>
    <row r="7" spans="1:26" s="3" customFormat="1" ht="33" customHeight="1">
      <c r="A7" s="17">
        <v>2</v>
      </c>
      <c r="B7" s="25" t="s">
        <v>57</v>
      </c>
      <c r="C7" s="20" t="s">
        <v>24</v>
      </c>
      <c r="D7" s="20" t="s">
        <v>25</v>
      </c>
      <c r="E7" s="20" t="s">
        <v>24</v>
      </c>
      <c r="F7" s="20" t="s">
        <v>25</v>
      </c>
      <c r="G7" s="26">
        <f>35*7</f>
        <v>245</v>
      </c>
      <c r="H7" s="26">
        <f t="shared" si="0"/>
        <v>35</v>
      </c>
      <c r="I7" s="26">
        <f>8+8+8+6+7+7</f>
        <v>44</v>
      </c>
      <c r="J7" s="34">
        <f aca="true" t="shared" si="9" ref="J7:N7">I7/6</f>
        <v>7.333333333333333</v>
      </c>
      <c r="K7" s="24">
        <f>2+2+2+3+2+2</f>
        <v>13</v>
      </c>
      <c r="L7" s="34">
        <f t="shared" si="9"/>
        <v>2.1666666666666665</v>
      </c>
      <c r="M7" s="24">
        <f t="shared" si="2"/>
        <v>45</v>
      </c>
      <c r="N7" s="24">
        <f t="shared" si="9"/>
        <v>7.5</v>
      </c>
      <c r="O7" s="24">
        <f t="shared" si="3"/>
        <v>48</v>
      </c>
      <c r="P7" s="24">
        <f t="shared" si="4"/>
        <v>8</v>
      </c>
      <c r="Q7" s="24">
        <f>12+11+13+11+10+10</f>
        <v>67</v>
      </c>
      <c r="R7" s="24">
        <f t="shared" si="5"/>
        <v>11.166666666666666</v>
      </c>
      <c r="S7" s="24">
        <f t="shared" si="6"/>
        <v>105</v>
      </c>
      <c r="T7" s="24">
        <f aca="true" t="shared" si="10" ref="T7:X7">S7/7</f>
        <v>15</v>
      </c>
      <c r="U7" s="24">
        <f t="shared" si="8"/>
        <v>49</v>
      </c>
      <c r="V7" s="24">
        <f t="shared" si="10"/>
        <v>7</v>
      </c>
      <c r="W7" s="24">
        <v>0</v>
      </c>
      <c r="X7" s="24">
        <f t="shared" si="10"/>
        <v>0</v>
      </c>
      <c r="Y7" s="44">
        <f aca="true" t="shared" si="11" ref="Y7:Y17">SUM(H7,J7,L7,N7,P7,R7,T7,V7)</f>
        <v>93.16666666666667</v>
      </c>
      <c r="Z7" s="20"/>
    </row>
    <row r="8" spans="1:26" s="3" customFormat="1" ht="33" customHeight="1">
      <c r="A8" s="17">
        <v>3</v>
      </c>
      <c r="B8" s="25" t="s">
        <v>59</v>
      </c>
      <c r="C8" s="20" t="s">
        <v>24</v>
      </c>
      <c r="D8" s="20" t="s">
        <v>25</v>
      </c>
      <c r="E8" s="20" t="s">
        <v>24</v>
      </c>
      <c r="F8" s="20" t="s">
        <v>25</v>
      </c>
      <c r="G8" s="26">
        <f>33.86*7</f>
        <v>237.01999999999998</v>
      </c>
      <c r="H8" s="26">
        <f t="shared" si="0"/>
        <v>33.86</v>
      </c>
      <c r="I8" s="26">
        <f>7+8+7+6+7+7</f>
        <v>42</v>
      </c>
      <c r="J8" s="34">
        <f aca="true" t="shared" si="12" ref="J8:N8">I8/6</f>
        <v>7</v>
      </c>
      <c r="K8" s="24">
        <f>3+2+3+3+2+3</f>
        <v>16</v>
      </c>
      <c r="L8" s="34">
        <f t="shared" si="12"/>
        <v>2.6666666666666665</v>
      </c>
      <c r="M8" s="24">
        <f t="shared" si="2"/>
        <v>45</v>
      </c>
      <c r="N8" s="24">
        <f t="shared" si="12"/>
        <v>7.5</v>
      </c>
      <c r="O8" s="24">
        <f t="shared" si="3"/>
        <v>48</v>
      </c>
      <c r="P8" s="24">
        <f t="shared" si="4"/>
        <v>8</v>
      </c>
      <c r="Q8" s="24">
        <f>12+12+13+12+11+11</f>
        <v>71</v>
      </c>
      <c r="R8" s="24">
        <f t="shared" si="5"/>
        <v>11.833333333333334</v>
      </c>
      <c r="S8" s="24">
        <f t="shared" si="6"/>
        <v>105</v>
      </c>
      <c r="T8" s="24">
        <f aca="true" t="shared" si="13" ref="T8:X8">S8/7</f>
        <v>15</v>
      </c>
      <c r="U8" s="24">
        <f t="shared" si="8"/>
        <v>49</v>
      </c>
      <c r="V8" s="24">
        <f t="shared" si="13"/>
        <v>7</v>
      </c>
      <c r="W8" s="24">
        <v>0</v>
      </c>
      <c r="X8" s="24">
        <f t="shared" si="13"/>
        <v>0</v>
      </c>
      <c r="Y8" s="44">
        <f t="shared" si="11"/>
        <v>92.86</v>
      </c>
      <c r="Z8" s="20"/>
    </row>
    <row r="9" spans="1:26" s="3" customFormat="1" ht="33" customHeight="1">
      <c r="A9" s="17">
        <v>4</v>
      </c>
      <c r="B9" s="25" t="s">
        <v>23</v>
      </c>
      <c r="C9" s="20" t="s">
        <v>24</v>
      </c>
      <c r="D9" s="20" t="s">
        <v>25</v>
      </c>
      <c r="E9" s="20" t="s">
        <v>24</v>
      </c>
      <c r="F9" s="20" t="s">
        <v>25</v>
      </c>
      <c r="G9" s="26">
        <f>31.16*7</f>
        <v>218.12</v>
      </c>
      <c r="H9" s="26">
        <f t="shared" si="0"/>
        <v>31.16</v>
      </c>
      <c r="I9" s="26">
        <f>9+8+8+8+8+8</f>
        <v>49</v>
      </c>
      <c r="J9" s="35">
        <v>8.167</v>
      </c>
      <c r="K9" s="24">
        <f>3+3+3+3+3+3</f>
        <v>18</v>
      </c>
      <c r="L9" s="34">
        <f aca="true" t="shared" si="14" ref="J9:N9">K9/6</f>
        <v>3</v>
      </c>
      <c r="M9" s="24">
        <f t="shared" si="2"/>
        <v>45</v>
      </c>
      <c r="N9" s="24">
        <f t="shared" si="14"/>
        <v>7.5</v>
      </c>
      <c r="O9" s="24">
        <f t="shared" si="3"/>
        <v>48</v>
      </c>
      <c r="P9" s="24">
        <f t="shared" si="4"/>
        <v>8</v>
      </c>
      <c r="Q9" s="24">
        <f>13+13+13+12+12+13</f>
        <v>76</v>
      </c>
      <c r="R9" s="24">
        <f t="shared" si="5"/>
        <v>12.666666666666666</v>
      </c>
      <c r="S9" s="24">
        <f t="shared" si="6"/>
        <v>105</v>
      </c>
      <c r="T9" s="24">
        <f aca="true" t="shared" si="15" ref="T9:X9">S9/7</f>
        <v>15</v>
      </c>
      <c r="U9" s="24">
        <f t="shared" si="8"/>
        <v>49</v>
      </c>
      <c r="V9" s="24">
        <f t="shared" si="15"/>
        <v>7</v>
      </c>
      <c r="W9" s="24">
        <v>0</v>
      </c>
      <c r="X9" s="24">
        <f t="shared" si="15"/>
        <v>0</v>
      </c>
      <c r="Y9" s="44">
        <f t="shared" si="11"/>
        <v>92.49366666666667</v>
      </c>
      <c r="Z9" s="20"/>
    </row>
    <row r="10" spans="1:26" s="3" customFormat="1" ht="33" customHeight="1">
      <c r="A10" s="17">
        <v>5</v>
      </c>
      <c r="B10" s="25" t="s">
        <v>27</v>
      </c>
      <c r="C10" s="20" t="s">
        <v>24</v>
      </c>
      <c r="D10" s="20" t="s">
        <v>25</v>
      </c>
      <c r="E10" s="20" t="s">
        <v>24</v>
      </c>
      <c r="F10" s="20" t="s">
        <v>25</v>
      </c>
      <c r="G10" s="26">
        <f>31.16*7</f>
        <v>218.12</v>
      </c>
      <c r="H10" s="26">
        <f t="shared" si="0"/>
        <v>31.16</v>
      </c>
      <c r="I10" s="26">
        <f>8+8+8+8+7+8</f>
        <v>47</v>
      </c>
      <c r="J10" s="34">
        <f aca="true" t="shared" si="16" ref="J10:N10">I10/6</f>
        <v>7.833333333333333</v>
      </c>
      <c r="K10" s="24">
        <f>3+3+3+3+3+3</f>
        <v>18</v>
      </c>
      <c r="L10" s="34">
        <f t="shared" si="16"/>
        <v>3</v>
      </c>
      <c r="M10" s="24">
        <f t="shared" si="2"/>
        <v>45</v>
      </c>
      <c r="N10" s="24">
        <f t="shared" si="16"/>
        <v>7.5</v>
      </c>
      <c r="O10" s="24">
        <f t="shared" si="3"/>
        <v>48</v>
      </c>
      <c r="P10" s="24">
        <f t="shared" si="4"/>
        <v>8</v>
      </c>
      <c r="Q10" s="24">
        <f>12+13+13+12+12+13</f>
        <v>75</v>
      </c>
      <c r="R10" s="24">
        <f t="shared" si="5"/>
        <v>12.5</v>
      </c>
      <c r="S10" s="24">
        <f t="shared" si="6"/>
        <v>105</v>
      </c>
      <c r="T10" s="24">
        <f aca="true" t="shared" si="17" ref="T10:X10">S10/7</f>
        <v>15</v>
      </c>
      <c r="U10" s="24">
        <f t="shared" si="8"/>
        <v>49</v>
      </c>
      <c r="V10" s="24">
        <f t="shared" si="17"/>
        <v>7</v>
      </c>
      <c r="W10" s="24">
        <v>0</v>
      </c>
      <c r="X10" s="24">
        <f t="shared" si="17"/>
        <v>0</v>
      </c>
      <c r="Y10" s="44">
        <f t="shared" si="11"/>
        <v>91.99333333333334</v>
      </c>
      <c r="Z10" s="20"/>
    </row>
    <row r="11" spans="1:26" s="3" customFormat="1" ht="33" customHeight="1">
      <c r="A11" s="17">
        <v>6</v>
      </c>
      <c r="B11" s="25" t="s">
        <v>82</v>
      </c>
      <c r="C11" s="20" t="s">
        <v>24</v>
      </c>
      <c r="D11" s="20" t="s">
        <v>25</v>
      </c>
      <c r="E11" s="20" t="s">
        <v>24</v>
      </c>
      <c r="F11" s="20" t="s">
        <v>25</v>
      </c>
      <c r="G11" s="26">
        <f>30.51*7</f>
        <v>213.57000000000002</v>
      </c>
      <c r="H11" s="26">
        <f t="shared" si="0"/>
        <v>30.51</v>
      </c>
      <c r="I11" s="26">
        <f>8+8+8+7+7+8</f>
        <v>46</v>
      </c>
      <c r="J11" s="34">
        <f aca="true" t="shared" si="18" ref="J11:N11">I11/6</f>
        <v>7.666666666666667</v>
      </c>
      <c r="K11" s="24">
        <f>3+3+4+3+3+4</f>
        <v>20</v>
      </c>
      <c r="L11" s="34">
        <f t="shared" si="18"/>
        <v>3.3333333333333335</v>
      </c>
      <c r="M11" s="24">
        <f t="shared" si="2"/>
        <v>45</v>
      </c>
      <c r="N11" s="24">
        <f t="shared" si="18"/>
        <v>7.5</v>
      </c>
      <c r="O11" s="24">
        <f t="shared" si="3"/>
        <v>48</v>
      </c>
      <c r="P11" s="24">
        <f t="shared" si="4"/>
        <v>8</v>
      </c>
      <c r="Q11" s="24">
        <f>13+13+14+13+11+13</f>
        <v>77</v>
      </c>
      <c r="R11" s="24">
        <f t="shared" si="5"/>
        <v>12.833333333333334</v>
      </c>
      <c r="S11" s="24">
        <f t="shared" si="6"/>
        <v>105</v>
      </c>
      <c r="T11" s="24">
        <f aca="true" t="shared" si="19" ref="T11:X11">S11/7</f>
        <v>15</v>
      </c>
      <c r="U11" s="24">
        <f t="shared" si="8"/>
        <v>49</v>
      </c>
      <c r="V11" s="24">
        <f t="shared" si="19"/>
        <v>7</v>
      </c>
      <c r="W11" s="24">
        <v>0</v>
      </c>
      <c r="X11" s="24">
        <f t="shared" si="19"/>
        <v>0</v>
      </c>
      <c r="Y11" s="44">
        <f t="shared" si="11"/>
        <v>91.84333333333333</v>
      </c>
      <c r="Z11" s="20"/>
    </row>
    <row r="12" spans="1:26" s="3" customFormat="1" ht="33" customHeight="1">
      <c r="A12" s="17">
        <v>7</v>
      </c>
      <c r="B12" s="25" t="s">
        <v>49</v>
      </c>
      <c r="C12" s="20" t="s">
        <v>24</v>
      </c>
      <c r="D12" s="20" t="s">
        <v>25</v>
      </c>
      <c r="E12" s="20" t="s">
        <v>24</v>
      </c>
      <c r="F12" s="20" t="s">
        <v>25</v>
      </c>
      <c r="G12" s="26">
        <f aca="true" t="shared" si="20" ref="G12:G14">30.83*7</f>
        <v>215.81</v>
      </c>
      <c r="H12" s="26">
        <f t="shared" si="0"/>
        <v>30.830000000000002</v>
      </c>
      <c r="I12" s="26">
        <f>8+8+8+8+7+7</f>
        <v>46</v>
      </c>
      <c r="J12" s="35">
        <v>7.667</v>
      </c>
      <c r="K12" s="24">
        <f>3+3+4+3+3+3</f>
        <v>19</v>
      </c>
      <c r="L12" s="35">
        <f aca="true" t="shared" si="21" ref="J12:N12">K12/6</f>
        <v>3.1666666666666665</v>
      </c>
      <c r="M12" s="24">
        <f t="shared" si="2"/>
        <v>45</v>
      </c>
      <c r="N12" s="24">
        <f t="shared" si="21"/>
        <v>7.5</v>
      </c>
      <c r="O12" s="24">
        <f t="shared" si="3"/>
        <v>48</v>
      </c>
      <c r="P12" s="24">
        <f t="shared" si="4"/>
        <v>8</v>
      </c>
      <c r="Q12" s="24">
        <f>13+13+14+12+13+11</f>
        <v>76</v>
      </c>
      <c r="R12" s="24">
        <f t="shared" si="5"/>
        <v>12.666666666666666</v>
      </c>
      <c r="S12" s="24">
        <f t="shared" si="6"/>
        <v>105</v>
      </c>
      <c r="T12" s="24">
        <f aca="true" t="shared" si="22" ref="T12:X12">S12/7</f>
        <v>15</v>
      </c>
      <c r="U12" s="24">
        <f t="shared" si="8"/>
        <v>49</v>
      </c>
      <c r="V12" s="24">
        <f t="shared" si="22"/>
        <v>7</v>
      </c>
      <c r="W12" s="24">
        <v>0</v>
      </c>
      <c r="X12" s="24">
        <f t="shared" si="22"/>
        <v>0</v>
      </c>
      <c r="Y12" s="44">
        <f t="shared" si="11"/>
        <v>91.83033333333333</v>
      </c>
      <c r="Z12" s="20"/>
    </row>
    <row r="13" spans="1:26" s="3" customFormat="1" ht="33" customHeight="1">
      <c r="A13" s="17">
        <v>8</v>
      </c>
      <c r="B13" s="25" t="s">
        <v>30</v>
      </c>
      <c r="C13" s="20" t="s">
        <v>24</v>
      </c>
      <c r="D13" s="20" t="s">
        <v>25</v>
      </c>
      <c r="E13" s="20" t="s">
        <v>24</v>
      </c>
      <c r="F13" s="20" t="s">
        <v>25</v>
      </c>
      <c r="G13" s="27">
        <f t="shared" si="20"/>
        <v>215.81</v>
      </c>
      <c r="H13" s="26">
        <f t="shared" si="0"/>
        <v>30.830000000000002</v>
      </c>
      <c r="I13" s="26">
        <f>8+8+8+8+7+8</f>
        <v>47</v>
      </c>
      <c r="J13" s="35">
        <v>7.833</v>
      </c>
      <c r="K13" s="24">
        <f>3+3+3+3+2+3</f>
        <v>17</v>
      </c>
      <c r="L13" s="35">
        <f aca="true" t="shared" si="23" ref="J13:N13">K13/6</f>
        <v>2.8333333333333335</v>
      </c>
      <c r="M13" s="24">
        <f t="shared" si="2"/>
        <v>45</v>
      </c>
      <c r="N13" s="24">
        <f t="shared" si="23"/>
        <v>7.5</v>
      </c>
      <c r="O13" s="24">
        <f t="shared" si="3"/>
        <v>48</v>
      </c>
      <c r="P13" s="24">
        <f t="shared" si="4"/>
        <v>8</v>
      </c>
      <c r="Q13" s="24">
        <f>12+12+13+12+13+13</f>
        <v>75</v>
      </c>
      <c r="R13" s="24">
        <f t="shared" si="5"/>
        <v>12.5</v>
      </c>
      <c r="S13" s="24">
        <f t="shared" si="6"/>
        <v>105</v>
      </c>
      <c r="T13" s="24">
        <f aca="true" t="shared" si="24" ref="T13:X13">S13/7</f>
        <v>15</v>
      </c>
      <c r="U13" s="24">
        <f t="shared" si="8"/>
        <v>49</v>
      </c>
      <c r="V13" s="24">
        <f t="shared" si="24"/>
        <v>7</v>
      </c>
      <c r="W13" s="24">
        <v>0</v>
      </c>
      <c r="X13" s="24">
        <f t="shared" si="24"/>
        <v>0</v>
      </c>
      <c r="Y13" s="44">
        <f t="shared" si="11"/>
        <v>91.49633333333334</v>
      </c>
      <c r="Z13" s="20"/>
    </row>
    <row r="14" spans="1:26" s="3" customFormat="1" ht="33" customHeight="1">
      <c r="A14" s="17">
        <v>9</v>
      </c>
      <c r="B14" s="25" t="s">
        <v>83</v>
      </c>
      <c r="C14" s="20" t="s">
        <v>24</v>
      </c>
      <c r="D14" s="20" t="s">
        <v>25</v>
      </c>
      <c r="E14" s="20" t="s">
        <v>24</v>
      </c>
      <c r="F14" s="20" t="s">
        <v>25</v>
      </c>
      <c r="G14" s="26">
        <f t="shared" si="20"/>
        <v>215.81</v>
      </c>
      <c r="H14" s="26">
        <f t="shared" si="0"/>
        <v>30.830000000000002</v>
      </c>
      <c r="I14" s="26">
        <f>8+8+8+7+8+7</f>
        <v>46</v>
      </c>
      <c r="J14" s="34">
        <f aca="true" t="shared" si="25" ref="J14:N14">I14/6</f>
        <v>7.666666666666667</v>
      </c>
      <c r="K14" s="24">
        <f>3+3+3+3+2+2</f>
        <v>16</v>
      </c>
      <c r="L14" s="34">
        <f t="shared" si="25"/>
        <v>2.6666666666666665</v>
      </c>
      <c r="M14" s="24">
        <f t="shared" si="2"/>
        <v>45</v>
      </c>
      <c r="N14" s="24">
        <f t="shared" si="25"/>
        <v>7.5</v>
      </c>
      <c r="O14" s="24">
        <f t="shared" si="3"/>
        <v>48</v>
      </c>
      <c r="P14" s="24">
        <f t="shared" si="4"/>
        <v>8</v>
      </c>
      <c r="Q14" s="24">
        <f>13+13+14+13+11+10</f>
        <v>74</v>
      </c>
      <c r="R14" s="24">
        <f t="shared" si="5"/>
        <v>12.333333333333334</v>
      </c>
      <c r="S14" s="24">
        <f t="shared" si="6"/>
        <v>105</v>
      </c>
      <c r="T14" s="24">
        <f aca="true" t="shared" si="26" ref="T14:X14">S14/7</f>
        <v>15</v>
      </c>
      <c r="U14" s="24">
        <f t="shared" si="8"/>
        <v>49</v>
      </c>
      <c r="V14" s="24">
        <f t="shared" si="26"/>
        <v>7</v>
      </c>
      <c r="W14" s="24">
        <v>0</v>
      </c>
      <c r="X14" s="24">
        <f t="shared" si="26"/>
        <v>0</v>
      </c>
      <c r="Y14" s="44">
        <f t="shared" si="11"/>
        <v>90.99666666666667</v>
      </c>
      <c r="Z14" s="20"/>
    </row>
    <row r="15" spans="1:26" s="3" customFormat="1" ht="33" customHeight="1">
      <c r="A15" s="17">
        <v>10</v>
      </c>
      <c r="B15" s="25" t="s">
        <v>84</v>
      </c>
      <c r="C15" s="20" t="s">
        <v>24</v>
      </c>
      <c r="D15" s="20" t="s">
        <v>25</v>
      </c>
      <c r="E15" s="20" t="s">
        <v>24</v>
      </c>
      <c r="F15" s="20" t="s">
        <v>25</v>
      </c>
      <c r="G15" s="26">
        <f>30.99*7</f>
        <v>216.92999999999998</v>
      </c>
      <c r="H15" s="26">
        <f t="shared" si="0"/>
        <v>30.99</v>
      </c>
      <c r="I15" s="26">
        <f>8+8+9+7+7+7</f>
        <v>46</v>
      </c>
      <c r="J15" s="35">
        <v>7.667</v>
      </c>
      <c r="K15" s="24">
        <f>3+4+4+3+3+2</f>
        <v>19</v>
      </c>
      <c r="L15" s="35">
        <f aca="true" t="shared" si="27" ref="J15:N15">K15/6</f>
        <v>3.1666666666666665</v>
      </c>
      <c r="M15" s="24">
        <f t="shared" si="2"/>
        <v>45</v>
      </c>
      <c r="N15" s="24">
        <f t="shared" si="27"/>
        <v>7.5</v>
      </c>
      <c r="O15" s="24">
        <f aca="true" t="shared" si="28" ref="O15:O17">6*6</f>
        <v>36</v>
      </c>
      <c r="P15" s="24">
        <f t="shared" si="4"/>
        <v>6</v>
      </c>
      <c r="Q15" s="24">
        <f>13+13+13+13+10+10</f>
        <v>72</v>
      </c>
      <c r="R15" s="24">
        <f t="shared" si="5"/>
        <v>12</v>
      </c>
      <c r="S15" s="24">
        <f t="shared" si="6"/>
        <v>105</v>
      </c>
      <c r="T15" s="24">
        <f aca="true" t="shared" si="29" ref="T15:X15">S15/7</f>
        <v>15</v>
      </c>
      <c r="U15" s="24">
        <f t="shared" si="8"/>
        <v>49</v>
      </c>
      <c r="V15" s="24">
        <f t="shared" si="29"/>
        <v>7</v>
      </c>
      <c r="W15" s="24">
        <v>0</v>
      </c>
      <c r="X15" s="24">
        <f t="shared" si="29"/>
        <v>0</v>
      </c>
      <c r="Y15" s="44">
        <f t="shared" si="11"/>
        <v>89.32366666666667</v>
      </c>
      <c r="Z15" s="20"/>
    </row>
    <row r="16" spans="1:26" s="3" customFormat="1" ht="33" customHeight="1">
      <c r="A16" s="17">
        <v>11</v>
      </c>
      <c r="B16" s="25" t="s">
        <v>77</v>
      </c>
      <c r="C16" s="20" t="s">
        <v>24</v>
      </c>
      <c r="D16" s="20" t="s">
        <v>25</v>
      </c>
      <c r="E16" s="20" t="s">
        <v>24</v>
      </c>
      <c r="F16" s="20" t="s">
        <v>25</v>
      </c>
      <c r="G16" s="26">
        <f>31.16*7</f>
        <v>218.12</v>
      </c>
      <c r="H16" s="26">
        <f t="shared" si="0"/>
        <v>31.16</v>
      </c>
      <c r="I16" s="26">
        <f>8+8+7+8+7+7</f>
        <v>45</v>
      </c>
      <c r="J16" s="34">
        <f aca="true" t="shared" si="30" ref="J16:N16">I16/6</f>
        <v>7.5</v>
      </c>
      <c r="K16" s="24">
        <f>3+3+3+3+2+3</f>
        <v>17</v>
      </c>
      <c r="L16" s="34">
        <f t="shared" si="30"/>
        <v>2.8333333333333335</v>
      </c>
      <c r="M16" s="24">
        <f>4*6</f>
        <v>24</v>
      </c>
      <c r="N16" s="24">
        <f t="shared" si="30"/>
        <v>4</v>
      </c>
      <c r="O16" s="24">
        <f t="shared" si="28"/>
        <v>36</v>
      </c>
      <c r="P16" s="24">
        <f t="shared" si="4"/>
        <v>6</v>
      </c>
      <c r="Q16" s="24">
        <f>13+13+13+14+12+11</f>
        <v>76</v>
      </c>
      <c r="R16" s="24">
        <f t="shared" si="5"/>
        <v>12.666666666666666</v>
      </c>
      <c r="S16" s="24">
        <f t="shared" si="6"/>
        <v>105</v>
      </c>
      <c r="T16" s="24">
        <f aca="true" t="shared" si="31" ref="T16:X16">S16/7</f>
        <v>15</v>
      </c>
      <c r="U16" s="24">
        <f t="shared" si="8"/>
        <v>49</v>
      </c>
      <c r="V16" s="24">
        <f t="shared" si="31"/>
        <v>7</v>
      </c>
      <c r="W16" s="24">
        <v>0</v>
      </c>
      <c r="X16" s="24">
        <f t="shared" si="31"/>
        <v>0</v>
      </c>
      <c r="Y16" s="44">
        <f t="shared" si="11"/>
        <v>86.16</v>
      </c>
      <c r="Z16" s="20"/>
    </row>
    <row r="17" spans="1:26" s="3" customFormat="1" ht="33" customHeight="1">
      <c r="A17" s="17">
        <v>12</v>
      </c>
      <c r="B17" s="25" t="s">
        <v>64</v>
      </c>
      <c r="C17" s="20" t="s">
        <v>24</v>
      </c>
      <c r="D17" s="20" t="s">
        <v>25</v>
      </c>
      <c r="E17" s="20" t="s">
        <v>24</v>
      </c>
      <c r="F17" s="20" t="s">
        <v>25</v>
      </c>
      <c r="G17" s="26">
        <f>30.19*7</f>
        <v>211.33</v>
      </c>
      <c r="H17" s="26">
        <f t="shared" si="0"/>
        <v>30.19</v>
      </c>
      <c r="I17" s="26">
        <f>8+8+8+6+7+8</f>
        <v>45</v>
      </c>
      <c r="J17" s="34">
        <f aca="true" t="shared" si="32" ref="J17:N17">I17/6</f>
        <v>7.5</v>
      </c>
      <c r="K17" s="24">
        <f>3+3+4+3+3+3</f>
        <v>19</v>
      </c>
      <c r="L17" s="34">
        <f t="shared" si="32"/>
        <v>3.1666666666666665</v>
      </c>
      <c r="M17" s="24">
        <f>4*6</f>
        <v>24</v>
      </c>
      <c r="N17" s="24">
        <f t="shared" si="32"/>
        <v>4</v>
      </c>
      <c r="O17" s="24">
        <f t="shared" si="28"/>
        <v>36</v>
      </c>
      <c r="P17" s="24">
        <f t="shared" si="4"/>
        <v>6</v>
      </c>
      <c r="Q17" s="24">
        <f>13+14+14+13+12+12</f>
        <v>78</v>
      </c>
      <c r="R17" s="24">
        <f t="shared" si="5"/>
        <v>13</v>
      </c>
      <c r="S17" s="24">
        <f t="shared" si="6"/>
        <v>105</v>
      </c>
      <c r="T17" s="24">
        <f aca="true" t="shared" si="33" ref="T17:X17">S17/7</f>
        <v>15</v>
      </c>
      <c r="U17" s="24">
        <f t="shared" si="8"/>
        <v>49</v>
      </c>
      <c r="V17" s="24">
        <f t="shared" si="33"/>
        <v>7</v>
      </c>
      <c r="W17" s="24">
        <v>0</v>
      </c>
      <c r="X17" s="24">
        <f t="shared" si="33"/>
        <v>0</v>
      </c>
      <c r="Y17" s="44">
        <f t="shared" si="11"/>
        <v>85.85666666666665</v>
      </c>
      <c r="Z17" s="20"/>
    </row>
    <row r="18" spans="1:26" s="3" customFormat="1" ht="33" customHeight="1">
      <c r="A18" s="17">
        <v>17</v>
      </c>
      <c r="B18" s="28" t="s">
        <v>35</v>
      </c>
      <c r="C18" s="20" t="s">
        <v>24</v>
      </c>
      <c r="D18" s="20" t="s">
        <v>25</v>
      </c>
      <c r="E18" s="20" t="s">
        <v>36</v>
      </c>
      <c r="F18" s="29" t="s">
        <v>37</v>
      </c>
      <c r="G18" s="30" t="s">
        <v>25</v>
      </c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20"/>
    </row>
    <row r="19" spans="1:26" s="3" customFormat="1" ht="33" customHeight="1">
      <c r="A19" s="17">
        <v>18</v>
      </c>
      <c r="B19" s="28" t="s">
        <v>41</v>
      </c>
      <c r="C19" s="20" t="s">
        <v>24</v>
      </c>
      <c r="D19" s="20" t="s">
        <v>25</v>
      </c>
      <c r="E19" s="20" t="s">
        <v>36</v>
      </c>
      <c r="F19" s="29" t="s">
        <v>42</v>
      </c>
      <c r="G19" s="30" t="s">
        <v>25</v>
      </c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20"/>
    </row>
    <row r="20" spans="1:26" s="3" customFormat="1" ht="33" customHeight="1">
      <c r="A20" s="17">
        <v>19</v>
      </c>
      <c r="B20" s="28" t="s">
        <v>78</v>
      </c>
      <c r="C20" s="20" t="s">
        <v>24</v>
      </c>
      <c r="D20" s="20" t="s">
        <v>25</v>
      </c>
      <c r="E20" s="20" t="s">
        <v>36</v>
      </c>
      <c r="F20" s="29" t="s">
        <v>40</v>
      </c>
      <c r="G20" s="30" t="s">
        <v>25</v>
      </c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20"/>
    </row>
  </sheetData>
  <sheetProtection/>
  <mergeCells count="23">
    <mergeCell ref="A1:Z1"/>
    <mergeCell ref="Y3:Z3"/>
    <mergeCell ref="G4:H4"/>
    <mergeCell ref="I4:J4"/>
    <mergeCell ref="K4:L4"/>
    <mergeCell ref="M4:N4"/>
    <mergeCell ref="O4:P4"/>
    <mergeCell ref="Q4:R4"/>
    <mergeCell ref="S4:T4"/>
    <mergeCell ref="U4:V4"/>
    <mergeCell ref="W4:X4"/>
    <mergeCell ref="G18:Y18"/>
    <mergeCell ref="G19:Y19"/>
    <mergeCell ref="G20:Y20"/>
    <mergeCell ref="A4:A5"/>
    <mergeCell ref="B4:B5"/>
    <mergeCell ref="C4:C5"/>
    <mergeCell ref="D4:D5"/>
    <mergeCell ref="E4:E5"/>
    <mergeCell ref="F4:F5"/>
    <mergeCell ref="Y4:Y5"/>
    <mergeCell ref="Z4:Z5"/>
    <mergeCell ref="Z6:Z20"/>
  </mergeCells>
  <dataValidations count="3">
    <dataValidation errorStyle="warning" type="custom" allowBlank="1" showErrorMessage="1" errorTitle="拒绝重复输入" error="当前输入的内容，与本区域的其他单元格内容重复。" sqref="B6 B7 B8 B9 B10 B11 B12 B13 B14 B15 B16 B17">
      <formula1>COUNTIF($C$7:$C$57,B6)&lt;2</formula1>
    </dataValidation>
    <dataValidation errorStyle="warning" type="custom" allowBlank="1" showErrorMessage="1" errorTitle="拒绝重复输入" error="当前输入的内容，与本区域的其他单元格内容重复。" sqref="G6 I6 G7 I7 G14 G8:G12 G15:G17 H6:H17 I8:I17">
      <formula1>COUNTIF($F$13:$F$14,G6)&lt;2</formula1>
    </dataValidation>
    <dataValidation errorStyle="warning" type="custom" allowBlank="1" showErrorMessage="1" errorTitle="拒绝重复输入" error="当前输入的内容，与本区域的其他单元格内容重复。" sqref="G18:G20 H18:H20 I18:I20">
      <formula1>COUNTIF($F$21:$F$22,G18)&lt;2</formula1>
    </dataValidation>
  </dataValidations>
  <printOptions/>
  <pageMargins left="0.75" right="0.75" top="1" bottom="1" header="0.51" footer="0.51"/>
  <pageSetup orientation="landscape" paperSize="9" scale="5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杨婷</cp:lastModifiedBy>
  <dcterms:created xsi:type="dcterms:W3CDTF">2016-12-12T07:34:19Z</dcterms:created>
  <dcterms:modified xsi:type="dcterms:W3CDTF">2021-08-24T08:09:06Z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2052-11.1.0.10700</vt:lpwstr>
  </property>
  <property fmtid="{D5CDD505-2E9C-101B-9397-08002B2CF9AE}" pid="4" name="I">
    <vt:lpwstr>A2777B6964F3485E86B73C5C600FC85D</vt:lpwstr>
  </property>
</Properties>
</file>