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0000" windowHeight="7000" activeTab="0"/>
  </bookViews>
  <sheets>
    <sheet name="编制说明" sheetId="1" r:id="rId1"/>
    <sheet name="工程项目总价表" sheetId="2" r:id="rId2"/>
    <sheet name="分类分项工程量清单(建筑)" sheetId="3" r:id="rId3"/>
    <sheet name="分类分项工程量清单(安装)" sheetId="4" r:id="rId4"/>
    <sheet name="分类分项工程量清单(临时)" sheetId="5" r:id="rId5"/>
    <sheet name="措施项目清单" sheetId="6" r:id="rId6"/>
    <sheet name="其他项目清单" sheetId="7" r:id="rId7"/>
    <sheet name="工程单价汇总表" sheetId="8" r:id="rId8"/>
    <sheet name="主要材料预算价格汇总表" sheetId="9" r:id="rId9"/>
    <sheet name="工程单价计算表" sheetId="10" r:id="rId10"/>
    <sheet name="主要工程量汇总表" sheetId="11" r:id="rId11"/>
    <sheet name="工程用量汇总表" sheetId="12" r:id="rId12"/>
    <sheet name="工程量计算表" sheetId="13" r:id="rId13"/>
    <sheet name="主要材料总消耗量统计表" sheetId="14" r:id="rId14"/>
  </sheets>
  <definedNames>
    <definedName name="金结部分序号">0</definedName>
  </definedNames>
  <calcPr fullCalcOnLoad="1"/>
</workbook>
</file>

<file path=xl/sharedStrings.xml><?xml version="1.0" encoding="utf-8"?>
<sst xmlns="http://schemas.openxmlformats.org/spreadsheetml/2006/main" count="5227" uniqueCount="2129">
  <si>
    <t>编制说明</t>
  </si>
  <si>
    <t>一、编制依据</t>
  </si>
  <si>
    <t xml:space="preserve"> 1、广西壮族自治区水利厅、广西壮族自治区财政厅、广西壮族自治区发展和改革委员会联合以桂</t>
  </si>
  <si>
    <t>水基[2007]38号文发布的《广西水利水电工程设计概(预)算编制规定》、《广西水利水电工程概预</t>
  </si>
  <si>
    <t>算系列定额》、《广西水利水电工程机械台时费定额》；</t>
  </si>
  <si>
    <t>2、广西水利厅以桂水基【2004】46号文发布的《关于在我区水利水电建设工程实行建筑意外伤害保</t>
  </si>
  <si>
    <t>险制度的通知》；</t>
  </si>
  <si>
    <t>3、桂水基〔2013〕18号文《关于调整广西水利水电建设工程定额人工预算单价的通知》；</t>
  </si>
  <si>
    <t>4、广西水利厅以桂水基[2014]41号文发布的《广西壮族自治区水利水电工程概（预）算补充定额》</t>
  </si>
  <si>
    <t>5、广西水利厅以桂水基[2016] 1号文发布的《关于调整广西水利水电建设工程定额人工预算单价的</t>
  </si>
  <si>
    <t>通知》；</t>
  </si>
  <si>
    <t>6、广西水利厅以桂水基[2016]16号文发布的《水利厅关于营业税改征增值税后广西水利水电工程计</t>
  </si>
  <si>
    <t>价依据调整的通知》；</t>
  </si>
  <si>
    <t>7、广西水利厅以水办基[2016]31号文发布的《水利厅办公室转发水利部办公厅关于印发〈水利工程</t>
  </si>
  <si>
    <t>营业税改征增值税计价依据调整办法〉的通知》。</t>
  </si>
  <si>
    <t>8、桂水基[2018]11号《自治区水利厅关于调整水利工程增值税税率的通知》；</t>
  </si>
  <si>
    <t>9、桂水建设[2019]4号《自治区水利厅关于调整水利工程增值税计算标准的通知》；</t>
  </si>
  <si>
    <t>10、建筑工程意外伤害保险按建安工程费的0.3%计算。</t>
  </si>
  <si>
    <t>二、材料价格</t>
  </si>
  <si>
    <t>1、钢筋、水泥、块石、砂及碎石等主要建筑材料预算价格采用《桂林市建设工程造价信息》2020年</t>
  </si>
  <si>
    <t>第11期永福县价格考虑了材料运输距离12公里，并根据永福县实际情况来计算运费。主要材料按桂</t>
  </si>
  <si>
    <t>水基[2007]38号文规定的限价进入工程直接费，超出部分作为材料价差。</t>
  </si>
  <si>
    <t>2、水泥采用普通硅酸盐水泥42.5MPa</t>
  </si>
  <si>
    <t>工程项目总价表</t>
  </si>
  <si>
    <t>招标编号：</t>
  </si>
  <si>
    <t>工程名称：</t>
  </si>
  <si>
    <t>广西永福县相思江罗锦老村至黄洞屯河段整治工程初步设计</t>
  </si>
  <si>
    <t>第1页 共1页</t>
  </si>
  <si>
    <t>序号</t>
  </si>
  <si>
    <t>工程项目名称</t>
  </si>
  <si>
    <t>金额(元)</t>
  </si>
  <si>
    <t>1</t>
  </si>
  <si>
    <t>相思江河道</t>
  </si>
  <si>
    <t>8841009.68</t>
  </si>
  <si>
    <t>2</t>
  </si>
  <si>
    <t>汊河</t>
  </si>
  <si>
    <t>366058.90</t>
  </si>
  <si>
    <t>3</t>
  </si>
  <si>
    <t>附属建筑物</t>
  </si>
  <si>
    <t>279535.49</t>
  </si>
  <si>
    <t>4</t>
  </si>
  <si>
    <t>河道疏浚清淤</t>
  </si>
  <si>
    <t>329040.27</t>
  </si>
  <si>
    <t>5</t>
  </si>
  <si>
    <t>其他建筑工程</t>
  </si>
  <si>
    <t>98156.44</t>
  </si>
  <si>
    <t>6</t>
  </si>
  <si>
    <t>施工导流</t>
  </si>
  <si>
    <t>166512.87</t>
  </si>
  <si>
    <t>7</t>
  </si>
  <si>
    <t>施工临时道路</t>
  </si>
  <si>
    <t>190000.00</t>
  </si>
  <si>
    <t>8</t>
  </si>
  <si>
    <t>办公生活及文化福利建筑</t>
  </si>
  <si>
    <t>154054.70</t>
  </si>
  <si>
    <t>9</t>
  </si>
  <si>
    <t>其他临时工程</t>
  </si>
  <si>
    <t>104243.68</t>
  </si>
  <si>
    <t>10</t>
  </si>
  <si>
    <t>措施项目</t>
  </si>
  <si>
    <t>31585.84</t>
  </si>
  <si>
    <t>11</t>
  </si>
  <si>
    <t>其他项目</t>
  </si>
  <si>
    <t>0.00</t>
  </si>
  <si>
    <t>合计</t>
  </si>
  <si>
    <t>10560197.87</t>
  </si>
  <si>
    <t>分类分项工程量清单</t>
  </si>
  <si>
    <t>第1页 共6页</t>
  </si>
  <si>
    <t>项目编码</t>
  </si>
  <si>
    <t>项目名称</t>
  </si>
  <si>
    <t>计量
单位</t>
  </si>
  <si>
    <t>工程
数量</t>
  </si>
  <si>
    <t>综合单价
(元)</t>
  </si>
  <si>
    <t>合价
(元)</t>
  </si>
  <si>
    <t>主要技术条款编码</t>
  </si>
  <si>
    <t>备注</t>
  </si>
  <si>
    <t>1.1</t>
  </si>
  <si>
    <t>老村段河岸（0+000～0+500）</t>
  </si>
  <si>
    <t>1.1.1</t>
  </si>
  <si>
    <t>500101002001</t>
  </si>
  <si>
    <t>机械开挖土方（用于墙背夯填）</t>
  </si>
  <si>
    <t>m³</t>
  </si>
  <si>
    <t>1214</t>
  </si>
  <si>
    <t>6.3</t>
  </si>
  <si>
    <t>1.1.2</t>
  </si>
  <si>
    <t>500101001001</t>
  </si>
  <si>
    <t>清理树枝</t>
  </si>
  <si>
    <t>m²</t>
  </si>
  <si>
    <t>1500</t>
  </si>
  <si>
    <t>6.2</t>
  </si>
  <si>
    <t>1.1.3</t>
  </si>
  <si>
    <t>500101003001</t>
  </si>
  <si>
    <t>挖掘机挖装渠道，III类土</t>
  </si>
  <si>
    <t>809</t>
  </si>
  <si>
    <t>1.1.4</t>
  </si>
  <si>
    <t>500103001001</t>
  </si>
  <si>
    <t>回填土方（利用开挖料）</t>
  </si>
  <si>
    <t>m³实方</t>
  </si>
  <si>
    <t>2248</t>
  </si>
  <si>
    <t>13.5</t>
  </si>
  <si>
    <t>1.1.5</t>
  </si>
  <si>
    <t>500103010001</t>
  </si>
  <si>
    <t>人工抛块石挤淤泥</t>
  </si>
  <si>
    <t>m³抛投方</t>
  </si>
  <si>
    <t>908.9</t>
  </si>
  <si>
    <t>13.1</t>
  </si>
  <si>
    <t>1.1.6</t>
  </si>
  <si>
    <t>500109001001</t>
  </si>
  <si>
    <t>墙混凝土，墙厚90cm</t>
  </si>
  <si>
    <t>1408.5</t>
  </si>
  <si>
    <t>14.5</t>
  </si>
  <si>
    <t>1.1.7</t>
  </si>
  <si>
    <t>φ50PVC排水管</t>
  </si>
  <si>
    <t>m</t>
  </si>
  <si>
    <t>1048</t>
  </si>
  <si>
    <t>1.1.8</t>
  </si>
  <si>
    <t>500103005001</t>
  </si>
  <si>
    <t>人工铺筑反滤层</t>
  </si>
  <si>
    <t>28.3</t>
  </si>
  <si>
    <t>1.1.9</t>
  </si>
  <si>
    <t>500114001001</t>
  </si>
  <si>
    <t>草皮护坡</t>
  </si>
  <si>
    <t>2128</t>
  </si>
  <si>
    <t>18.1</t>
  </si>
  <si>
    <t>1.1.10</t>
  </si>
  <si>
    <t>500103001002</t>
  </si>
  <si>
    <t>松填腐殖土（外购，5km）</t>
  </si>
  <si>
    <t>425.6</t>
  </si>
  <si>
    <t>1.1.11</t>
  </si>
  <si>
    <t>500110001001</t>
  </si>
  <si>
    <t>普通标准钢模板制作、安拆</t>
  </si>
  <si>
    <t>2383.1</t>
  </si>
  <si>
    <t>14.3</t>
  </si>
  <si>
    <t>1.1.12</t>
  </si>
  <si>
    <t>500109009001</t>
  </si>
  <si>
    <t>沥青木板伸缩缝</t>
  </si>
  <si>
    <t>136.2</t>
  </si>
  <si>
    <t>14.1</t>
  </si>
  <si>
    <t>1.1.13</t>
  </si>
  <si>
    <t>500109001002</t>
  </si>
  <si>
    <t>C30预制混凝土桩（运距1～5km）</t>
  </si>
  <si>
    <t>128.7</t>
  </si>
  <si>
    <t>14.6</t>
  </si>
  <si>
    <t>1.1.14</t>
  </si>
  <si>
    <t>履带式柴油打桩机打预制桩</t>
  </si>
  <si>
    <t>m³桩</t>
  </si>
  <si>
    <t>1.1.15</t>
  </si>
  <si>
    <t>500111001001</t>
  </si>
  <si>
    <t>一般钢筋机械制作安装</t>
  </si>
  <si>
    <t>t</t>
  </si>
  <si>
    <t>45.8</t>
  </si>
  <si>
    <t>14.4</t>
  </si>
  <si>
    <t>1.2</t>
  </si>
  <si>
    <t>崇山段护岸（1+760～4+000）</t>
  </si>
  <si>
    <t>1.2.1</t>
  </si>
  <si>
    <t>500101002002</t>
  </si>
  <si>
    <t>5168</t>
  </si>
  <si>
    <t>1.2.2</t>
  </si>
  <si>
    <t>500101003002</t>
  </si>
  <si>
    <t>1m³挖掘机挖装渠道(Ⅳ)土方，自卸汽车运1km</t>
  </si>
  <si>
    <t>3445</t>
  </si>
  <si>
    <t>1.2.3</t>
  </si>
  <si>
    <t>500101001002</t>
  </si>
  <si>
    <t>4108</t>
  </si>
  <si>
    <t>1.2.4</t>
  </si>
  <si>
    <t>500101002003</t>
  </si>
  <si>
    <t>土方开挖（外运1km）</t>
  </si>
  <si>
    <t>6221</t>
  </si>
  <si>
    <t>1.2.5</t>
  </si>
  <si>
    <t>500103001003</t>
  </si>
  <si>
    <t>2034</t>
  </si>
  <si>
    <t>1.2.6</t>
  </si>
  <si>
    <t>500103010002</t>
  </si>
  <si>
    <t>3543</t>
  </si>
  <si>
    <t>第2页 共6页</t>
  </si>
  <si>
    <t>1.2.7</t>
  </si>
  <si>
    <t>500109001003</t>
  </si>
  <si>
    <t>3567.4</t>
  </si>
  <si>
    <t>1.2.8</t>
  </si>
  <si>
    <t>500109001004</t>
  </si>
  <si>
    <t>C15平台砼（厚10cm）</t>
  </si>
  <si>
    <t>354.3</t>
  </si>
  <si>
    <t>1.2.9</t>
  </si>
  <si>
    <t>2371.9</t>
  </si>
  <si>
    <t>1.2.10</t>
  </si>
  <si>
    <t>500103005002</t>
  </si>
  <si>
    <t>64</t>
  </si>
  <si>
    <t>1.2.11</t>
  </si>
  <si>
    <t>500114001002</t>
  </si>
  <si>
    <t>8633.8</t>
  </si>
  <si>
    <t>1.2.12</t>
  </si>
  <si>
    <t>500103001004</t>
  </si>
  <si>
    <t>1726.8</t>
  </si>
  <si>
    <t>1.2.13</t>
  </si>
  <si>
    <t>500110001002</t>
  </si>
  <si>
    <t>6364.3</t>
  </si>
  <si>
    <t>1.2.14</t>
  </si>
  <si>
    <t>500109009002</t>
  </si>
  <si>
    <t>353.6</t>
  </si>
  <si>
    <t>1.2.15</t>
  </si>
  <si>
    <t>500109001005</t>
  </si>
  <si>
    <t>1587.9</t>
  </si>
  <si>
    <t>1.2.16</t>
  </si>
  <si>
    <t>1.2.17</t>
  </si>
  <si>
    <t>500111001002</t>
  </si>
  <si>
    <t>348.3</t>
  </si>
  <si>
    <t>2.1</t>
  </si>
  <si>
    <t>左护岸（0+000～0+350）</t>
  </si>
  <si>
    <t>2.1.1</t>
  </si>
  <si>
    <t>500101002004</t>
  </si>
  <si>
    <t>机械开挖土方（用于墙背夯填砂卵石）</t>
  </si>
  <si>
    <t>303</t>
  </si>
  <si>
    <t>2.1.2</t>
  </si>
  <si>
    <t>500101003003</t>
  </si>
  <si>
    <t>202</t>
  </si>
  <si>
    <t>2.1.3</t>
  </si>
  <si>
    <t>500101002005</t>
  </si>
  <si>
    <t>199</t>
  </si>
  <si>
    <t>2.1.4</t>
  </si>
  <si>
    <t>500103001005</t>
  </si>
  <si>
    <t>260</t>
  </si>
  <si>
    <t>2.1.5</t>
  </si>
  <si>
    <t>500103010003</t>
  </si>
  <si>
    <t>73.5</t>
  </si>
  <si>
    <t>2.1.6</t>
  </si>
  <si>
    <t>500109001006</t>
  </si>
  <si>
    <t>C15砼挡墙（平均厚60cm）</t>
  </si>
  <si>
    <t>216.8</t>
  </si>
  <si>
    <t>2.1.7</t>
  </si>
  <si>
    <t>293.2</t>
  </si>
  <si>
    <t>2.1.8</t>
  </si>
  <si>
    <t>500103005003</t>
  </si>
  <si>
    <t>9.9</t>
  </si>
  <si>
    <t>2.1.9</t>
  </si>
  <si>
    <t>500114001003</t>
  </si>
  <si>
    <t>749.5</t>
  </si>
  <si>
    <t>2.1.10</t>
  </si>
  <si>
    <t>500103001006</t>
  </si>
  <si>
    <t>150</t>
  </si>
  <si>
    <t>2.1.11</t>
  </si>
  <si>
    <t>500109009003</t>
  </si>
  <si>
    <t>21.1</t>
  </si>
  <si>
    <t>2.1.12</t>
  </si>
  <si>
    <t>500110001003</t>
  </si>
  <si>
    <t>676.2</t>
  </si>
  <si>
    <t>第3页 共6页</t>
  </si>
  <si>
    <t>2.2</t>
  </si>
  <si>
    <t>右护岸（0+000～0+350）</t>
  </si>
  <si>
    <t>2.2.1</t>
  </si>
  <si>
    <t>500101002006</t>
  </si>
  <si>
    <t>307.6</t>
  </si>
  <si>
    <t>2.2.2</t>
  </si>
  <si>
    <t>500101003004</t>
  </si>
  <si>
    <t>205</t>
  </si>
  <si>
    <t>2.2.3</t>
  </si>
  <si>
    <t>500101002007</t>
  </si>
  <si>
    <t>246</t>
  </si>
  <si>
    <t>2.2.4</t>
  </si>
  <si>
    <t>500103001007</t>
  </si>
  <si>
    <t>226</t>
  </si>
  <si>
    <t>2.2.5</t>
  </si>
  <si>
    <t>500103010004</t>
  </si>
  <si>
    <t>2.2.6</t>
  </si>
  <si>
    <t>500109001007</t>
  </si>
  <si>
    <t>2.2.7</t>
  </si>
  <si>
    <t>2.2.8</t>
  </si>
  <si>
    <t>500103005004</t>
  </si>
  <si>
    <t>2.2.9</t>
  </si>
  <si>
    <t>500114001004</t>
  </si>
  <si>
    <t>471.8</t>
  </si>
  <si>
    <t>2.2.10</t>
  </si>
  <si>
    <t>500103001008</t>
  </si>
  <si>
    <t>94</t>
  </si>
  <si>
    <t>2.2.11</t>
  </si>
  <si>
    <t>500109009004</t>
  </si>
  <si>
    <t>2.2.12</t>
  </si>
  <si>
    <t>500110001004</t>
  </si>
  <si>
    <t>3.1</t>
  </si>
  <si>
    <t>500101002008</t>
  </si>
  <si>
    <t>278.9</t>
  </si>
  <si>
    <t>3.2</t>
  </si>
  <si>
    <t>500101003005</t>
  </si>
  <si>
    <t>111</t>
  </si>
  <si>
    <t>3.3</t>
  </si>
  <si>
    <t>500103001009</t>
  </si>
  <si>
    <t>472.8</t>
  </si>
  <si>
    <t>3.4</t>
  </si>
  <si>
    <t>500109001008</t>
  </si>
  <si>
    <t>C20水泥混凝土路面（厚20cm）</t>
  </si>
  <si>
    <t>350</t>
  </si>
  <si>
    <t>3.5</t>
  </si>
  <si>
    <t>500109001009</t>
  </si>
  <si>
    <t>C20砼步阶</t>
  </si>
  <si>
    <t>174.6</t>
  </si>
  <si>
    <t>3.6</t>
  </si>
  <si>
    <t>500103007001</t>
  </si>
  <si>
    <t>人工铺筑碎石垫层（厚100mm）</t>
  </si>
  <si>
    <t>78.4</t>
  </si>
  <si>
    <t>3.7</t>
  </si>
  <si>
    <t>500202007001</t>
  </si>
  <si>
    <t>预制混凝土管安装，公称直径400mm</t>
  </si>
  <si>
    <t>18</t>
  </si>
  <si>
    <t>19.1</t>
  </si>
  <si>
    <t>3.8</t>
  </si>
  <si>
    <t>500202007002</t>
  </si>
  <si>
    <t>预制混凝土管安装，公称直径500mm</t>
  </si>
  <si>
    <t>30</t>
  </si>
  <si>
    <t>3.9</t>
  </si>
  <si>
    <t>500202007003</t>
  </si>
  <si>
    <t>预制混凝土管安装，公称直径800mm</t>
  </si>
  <si>
    <t>3.10</t>
  </si>
  <si>
    <t>500202007004</t>
  </si>
  <si>
    <t>预制混凝土管安装，公称直径1500mm</t>
  </si>
  <si>
    <t>12</t>
  </si>
  <si>
    <t>第4页 共6页</t>
  </si>
  <si>
    <t>3.11</t>
  </si>
  <si>
    <t>500109001010</t>
  </si>
  <si>
    <t>C15涵管基础混凝土(0.3m)</t>
  </si>
  <si>
    <t>114.6</t>
  </si>
  <si>
    <t>3.12</t>
  </si>
  <si>
    <t>500109001011</t>
  </si>
  <si>
    <t>C25砼消力池</t>
  </si>
  <si>
    <t>37.8</t>
  </si>
  <si>
    <t>3.13</t>
  </si>
  <si>
    <t>500110001005</t>
  </si>
  <si>
    <t>350.8</t>
  </si>
  <si>
    <t>4.1</t>
  </si>
  <si>
    <t>500104001001</t>
  </si>
  <si>
    <t>0.5m³抓斗式挖泥船，中粗砂，中密</t>
  </si>
  <si>
    <t>8307</t>
  </si>
  <si>
    <t>17.3</t>
  </si>
  <si>
    <t>4.2</t>
  </si>
  <si>
    <t>500101010001</t>
  </si>
  <si>
    <t>1m³挖掘机挖装淤泥、流砂，自卸汽车运2km</t>
  </si>
  <si>
    <t>%</t>
  </si>
  <si>
    <t>第5页 共6页</t>
  </si>
  <si>
    <t>永久设备及未计价装置性材料单价(元)</t>
  </si>
  <si>
    <t>安装单价
(元)</t>
  </si>
  <si>
    <t>永久设备及未计价装置性材料费(元)</t>
  </si>
  <si>
    <t>安装费
(元)</t>
  </si>
  <si>
    <t>第6页 共6页</t>
  </si>
  <si>
    <t>6.1</t>
  </si>
  <si>
    <t>500114002001</t>
  </si>
  <si>
    <t>编织袋渣土围堰填筑（利用渣料）</t>
  </si>
  <si>
    <t>2313</t>
  </si>
  <si>
    <t>500101010002</t>
  </si>
  <si>
    <t>编织袋渣土围堰拆除（运0.5km）</t>
  </si>
  <si>
    <t>km</t>
  </si>
  <si>
    <t>1.5</t>
  </si>
  <si>
    <t>措施项目清单</t>
  </si>
  <si>
    <t>建筑工程意外伤害保险费（按建安工程费×0.3%）</t>
  </si>
  <si>
    <t>其他项目清单</t>
  </si>
  <si>
    <t>工程单价汇总表</t>
  </si>
  <si>
    <t>人工费</t>
  </si>
  <si>
    <t>材料费</t>
  </si>
  <si>
    <t>机械
使用费</t>
  </si>
  <si>
    <t>其他
直接费</t>
  </si>
  <si>
    <t>现场
经费</t>
  </si>
  <si>
    <t>施工
管理费</t>
  </si>
  <si>
    <t>社会保障
及企业计
提费</t>
  </si>
  <si>
    <t>企业
利润</t>
  </si>
  <si>
    <t>价差</t>
  </si>
  <si>
    <t>风险金</t>
  </si>
  <si>
    <t>税金</t>
  </si>
  <si>
    <t>0.14</t>
  </si>
  <si>
    <t>0.07</t>
  </si>
  <si>
    <t>1.35</t>
  </si>
  <si>
    <t>0.05</t>
  </si>
  <si>
    <t>0.06</t>
  </si>
  <si>
    <t>0.08</t>
  </si>
  <si>
    <t>0.13</t>
  </si>
  <si>
    <t>0.75</t>
  </si>
  <si>
    <t>0.24</t>
  </si>
  <si>
    <t>2.94</t>
  </si>
  <si>
    <t>1.56</t>
  </si>
  <si>
    <t>0.12</t>
  </si>
  <si>
    <t>0.51</t>
  </si>
  <si>
    <t>0.17</t>
  </si>
  <si>
    <t>1.80</t>
  </si>
  <si>
    <t>0.39</t>
  </si>
  <si>
    <t>4.74</t>
  </si>
  <si>
    <t>1.21</t>
  </si>
  <si>
    <t>0.21</t>
  </si>
  <si>
    <t>5.87</t>
  </si>
  <si>
    <t>0.26</t>
  </si>
  <si>
    <t>0.29</t>
  </si>
  <si>
    <t>0.54</t>
  </si>
  <si>
    <t>0.61</t>
  </si>
  <si>
    <t>4.08</t>
  </si>
  <si>
    <t>1.20</t>
  </si>
  <si>
    <t>14.55</t>
  </si>
  <si>
    <t>1.87</t>
  </si>
  <si>
    <t>1.45</t>
  </si>
  <si>
    <t>0.23</t>
  </si>
  <si>
    <t>0.77</t>
  </si>
  <si>
    <t>0.34</t>
  </si>
  <si>
    <t>3.08</t>
  </si>
  <si>
    <t>9.07</t>
  </si>
  <si>
    <t>7.21</t>
  </si>
  <si>
    <t>31.21</t>
  </si>
  <si>
    <t>1.34</t>
  </si>
  <si>
    <t>2.31</t>
  </si>
  <si>
    <t>2.44</t>
  </si>
  <si>
    <t>2.37</t>
  </si>
  <si>
    <t>3.28</t>
  </si>
  <si>
    <t>93.00</t>
  </si>
  <si>
    <t>12.88</t>
  </si>
  <si>
    <t>156.04</t>
  </si>
  <si>
    <t>27.82</t>
  </si>
  <si>
    <t>106.29</t>
  </si>
  <si>
    <t>16.95</t>
  </si>
  <si>
    <t>5.29</t>
  </si>
  <si>
    <t>9.06</t>
  </si>
  <si>
    <t>6.12</t>
  </si>
  <si>
    <t>9.60</t>
  </si>
  <si>
    <t>12.68</t>
  </si>
  <si>
    <t>256.87</t>
  </si>
  <si>
    <t>40.56</t>
  </si>
  <si>
    <t>491.25</t>
  </si>
  <si>
    <t>10.00</t>
  </si>
  <si>
    <t>12.49</t>
  </si>
  <si>
    <t>33.94</t>
  </si>
  <si>
    <t>1.62</t>
  </si>
  <si>
    <t>2.79</t>
  </si>
  <si>
    <t>2.95</t>
  </si>
  <si>
    <t>4.10</t>
  </si>
  <si>
    <t>4.05</t>
  </si>
  <si>
    <t>142.44</t>
  </si>
  <si>
    <t>18.39</t>
  </si>
  <si>
    <t>222.77</t>
  </si>
  <si>
    <t>1.52</t>
  </si>
  <si>
    <t>6.25</t>
  </si>
  <si>
    <t>0.19</t>
  </si>
  <si>
    <t>0.31</t>
  </si>
  <si>
    <t>0.50</t>
  </si>
  <si>
    <t>0.64</t>
  </si>
  <si>
    <t>1.76</t>
  </si>
  <si>
    <t>1.03</t>
  </si>
  <si>
    <t>12.52</t>
  </si>
  <si>
    <t>1.97</t>
  </si>
  <si>
    <t>10.43</t>
  </si>
  <si>
    <t>0.45</t>
  </si>
  <si>
    <t>0.78</t>
  </si>
  <si>
    <t>0.82</t>
  </si>
  <si>
    <t>0.89</t>
  </si>
  <si>
    <t>1.11</t>
  </si>
  <si>
    <t>7.11</t>
  </si>
  <si>
    <t>2.17</t>
  </si>
  <si>
    <t>26.25</t>
  </si>
  <si>
    <t>7.40</t>
  </si>
  <si>
    <t>14.35</t>
  </si>
  <si>
    <t>4.96</t>
  </si>
  <si>
    <t>0.94</t>
  </si>
  <si>
    <t>1.60</t>
  </si>
  <si>
    <t>1.67</t>
  </si>
  <si>
    <t>2.70</t>
  </si>
  <si>
    <t>2.35</t>
  </si>
  <si>
    <t>14.50</t>
  </si>
  <si>
    <t>4.54</t>
  </si>
  <si>
    <t>55.01</t>
  </si>
  <si>
    <t>7.45</t>
  </si>
  <si>
    <t>56.83</t>
  </si>
  <si>
    <t>0.03</t>
  </si>
  <si>
    <t>2.25</t>
  </si>
  <si>
    <t>3.86</t>
  </si>
  <si>
    <t>2.61</t>
  </si>
  <si>
    <t>5.28</t>
  </si>
  <si>
    <t>25.25</t>
  </si>
  <si>
    <t>9.54</t>
  </si>
  <si>
    <t>115.54</t>
  </si>
  <si>
    <t>66.78</t>
  </si>
  <si>
    <t>220.36</t>
  </si>
  <si>
    <t>57.28</t>
  </si>
  <si>
    <t>12.05</t>
  </si>
  <si>
    <t>20.67</t>
  </si>
  <si>
    <t>13.95</t>
  </si>
  <si>
    <t>24.00</t>
  </si>
  <si>
    <t>29.06</t>
  </si>
  <si>
    <t>369.68</t>
  </si>
  <si>
    <t>73.24</t>
  </si>
  <si>
    <t>887.08</t>
  </si>
  <si>
    <t>33.38</t>
  </si>
  <si>
    <t>5.68</t>
  </si>
  <si>
    <t>60.84</t>
  </si>
  <si>
    <t>3.50</t>
  </si>
  <si>
    <t>4.00</t>
  </si>
  <si>
    <t>3.97</t>
  </si>
  <si>
    <t>14.25</t>
  </si>
  <si>
    <t>8.79</t>
  </si>
  <si>
    <t>59.97</t>
  </si>
  <si>
    <t>17.49</t>
  </si>
  <si>
    <t>211.87</t>
  </si>
  <si>
    <t>338.73</t>
  </si>
  <si>
    <t>3307.58</t>
  </si>
  <si>
    <t>269.95</t>
  </si>
  <si>
    <t>137.07</t>
  </si>
  <si>
    <t>117.49</t>
  </si>
  <si>
    <t>145.98</t>
  </si>
  <si>
    <t>115.65</t>
  </si>
  <si>
    <t>310.27</t>
  </si>
  <si>
    <t>1397.13</t>
  </si>
  <si>
    <t>552.59</t>
  </si>
  <si>
    <t>6692.44</t>
  </si>
  <si>
    <t>5.79</t>
  </si>
  <si>
    <t>0.22</t>
  </si>
  <si>
    <t>0.25</t>
  </si>
  <si>
    <t>2.92</t>
  </si>
  <si>
    <t>0.95</t>
  </si>
  <si>
    <t>11.53</t>
  </si>
  <si>
    <t>27.27</t>
  </si>
  <si>
    <t>104.79</t>
  </si>
  <si>
    <t>24.90</t>
  </si>
  <si>
    <t>5.49</t>
  </si>
  <si>
    <t>9.42</t>
  </si>
  <si>
    <t>6.36</t>
  </si>
  <si>
    <t>9.36</t>
  </si>
  <si>
    <t>13.13</t>
  </si>
  <si>
    <t>256.03</t>
  </si>
  <si>
    <t>41.11</t>
  </si>
  <si>
    <t>497.84</t>
  </si>
  <si>
    <t>28.45</t>
  </si>
  <si>
    <t>18.23</t>
  </si>
  <si>
    <t>5.35</t>
  </si>
  <si>
    <t>9.18</t>
  </si>
  <si>
    <t>6.20</t>
  </si>
  <si>
    <t>9.84</t>
  </si>
  <si>
    <t>12.85</t>
  </si>
  <si>
    <t>257.72</t>
  </si>
  <si>
    <t>40.87</t>
  </si>
  <si>
    <t>494.98</t>
  </si>
  <si>
    <t>8.23</t>
  </si>
  <si>
    <t>23.93</t>
  </si>
  <si>
    <t>3.05</t>
  </si>
  <si>
    <t>1.23</t>
  </si>
  <si>
    <t>1.83</t>
  </si>
  <si>
    <t>2.80</t>
  </si>
  <si>
    <t>3.00</t>
  </si>
  <si>
    <t>57.13</t>
  </si>
  <si>
    <t>9.27</t>
  </si>
  <si>
    <t>112.23</t>
  </si>
  <si>
    <t>47.23</t>
  </si>
  <si>
    <t>121.38</t>
  </si>
  <si>
    <t>9.03</t>
  </si>
  <si>
    <t>6.22</t>
  </si>
  <si>
    <t>10.66</t>
  </si>
  <si>
    <t>7.20</t>
  </si>
  <si>
    <t>15.77</t>
  </si>
  <si>
    <t>15.22</t>
  </si>
  <si>
    <t>289.35</t>
  </si>
  <si>
    <t>46.99</t>
  </si>
  <si>
    <t>569.05</t>
  </si>
  <si>
    <t>30.91</t>
  </si>
  <si>
    <t>2.60</t>
  </si>
  <si>
    <t>2.76</t>
  </si>
  <si>
    <t>3.81</t>
  </si>
  <si>
    <t>118.93</t>
  </si>
  <si>
    <t>15.94</t>
  </si>
  <si>
    <t>193.05</t>
  </si>
  <si>
    <t>11.80</t>
  </si>
  <si>
    <t>2.59</t>
  </si>
  <si>
    <t>0.53</t>
  </si>
  <si>
    <t>5.31</t>
  </si>
  <si>
    <t>5.55</t>
  </si>
  <si>
    <t>4.03</t>
  </si>
  <si>
    <t>2.09</t>
  </si>
  <si>
    <t>15.52</t>
  </si>
  <si>
    <t>10.87</t>
  </si>
  <si>
    <t>131.62</t>
  </si>
  <si>
    <t>14.74</t>
  </si>
  <si>
    <t>4.16</t>
  </si>
  <si>
    <t>0.70</t>
  </si>
  <si>
    <t>6.63</t>
  </si>
  <si>
    <t>6.93</t>
  </si>
  <si>
    <t>5.10</t>
  </si>
  <si>
    <t>2.68</t>
  </si>
  <si>
    <t>19.61</t>
  </si>
  <si>
    <t>14.77</t>
  </si>
  <si>
    <t>178.85</t>
  </si>
  <si>
    <t>25.92</t>
  </si>
  <si>
    <t>8.09</t>
  </si>
  <si>
    <t>1.26</t>
  </si>
  <si>
    <t>11.66</t>
  </si>
  <si>
    <t>12.18</t>
  </si>
  <si>
    <t>8.91</t>
  </si>
  <si>
    <t>4.77</t>
  </si>
  <si>
    <t>33.81</t>
  </si>
  <si>
    <t>31.33</t>
  </si>
  <si>
    <t>379.42</t>
  </si>
  <si>
    <t>64.22</t>
  </si>
  <si>
    <t>33.04</t>
  </si>
  <si>
    <t>3.61</t>
  </si>
  <si>
    <t>28.90</t>
  </si>
  <si>
    <t>30.18</t>
  </si>
  <si>
    <t>21.81</t>
  </si>
  <si>
    <t>12.74</t>
  </si>
  <si>
    <t>84.10</t>
  </si>
  <si>
    <t>79.09</t>
  </si>
  <si>
    <t>957.92</t>
  </si>
  <si>
    <t>24.09</t>
  </si>
  <si>
    <t>106.44</t>
  </si>
  <si>
    <t>15.41</t>
  </si>
  <si>
    <t>5.11</t>
  </si>
  <si>
    <t>8.76</t>
  </si>
  <si>
    <t>5.91</t>
  </si>
  <si>
    <t>8.17</t>
  </si>
  <si>
    <t>12.17</t>
  </si>
  <si>
    <t>251.85</t>
  </si>
  <si>
    <t>39.41</t>
  </si>
  <si>
    <t>477.33</t>
  </si>
  <si>
    <t>128.78</t>
  </si>
  <si>
    <t>6.48</t>
  </si>
  <si>
    <t>11.10</t>
  </si>
  <si>
    <t>7.50</t>
  </si>
  <si>
    <t>15.81</t>
  </si>
  <si>
    <t>292.68</t>
  </si>
  <si>
    <t>48.09</t>
  </si>
  <si>
    <t>582.46</t>
  </si>
  <si>
    <t>9.25</t>
  </si>
  <si>
    <t>0.33</t>
  </si>
  <si>
    <t>0.47</t>
  </si>
  <si>
    <t>0.81</t>
  </si>
  <si>
    <t>5.81</t>
  </si>
  <si>
    <t>1.64</t>
  </si>
  <si>
    <t>19.91</t>
  </si>
  <si>
    <t>0.32</t>
  </si>
  <si>
    <t>0.99</t>
  </si>
  <si>
    <t>9.57</t>
  </si>
  <si>
    <t>0.38</t>
  </si>
  <si>
    <t>0.44</t>
  </si>
  <si>
    <t>0.43</t>
  </si>
  <si>
    <t>0.87</t>
  </si>
  <si>
    <t>4.75</t>
  </si>
  <si>
    <t>1.63</t>
  </si>
  <si>
    <t>19.70</t>
  </si>
  <si>
    <t>13.46</t>
  </si>
  <si>
    <t>16.67</t>
  </si>
  <si>
    <t>1.05</t>
  </si>
  <si>
    <t>1.51</t>
  </si>
  <si>
    <t>1.57</t>
  </si>
  <si>
    <t>4.41</t>
  </si>
  <si>
    <t>2.71</t>
  </si>
  <si>
    <t>15.56</t>
  </si>
  <si>
    <t>5.12</t>
  </si>
  <si>
    <t>62.05</t>
  </si>
  <si>
    <t>4.94</t>
  </si>
  <si>
    <t>2.53</t>
  </si>
  <si>
    <t>9.94</t>
  </si>
  <si>
    <t>50000.00</t>
  </si>
  <si>
    <t>主要材料预算价格汇总表</t>
  </si>
  <si>
    <t>材料名称</t>
  </si>
  <si>
    <t>型号规格</t>
  </si>
  <si>
    <t>计量单位</t>
  </si>
  <si>
    <t>预算价(元)</t>
  </si>
  <si>
    <t>钢筋</t>
  </si>
  <si>
    <t>3913.52</t>
  </si>
  <si>
    <t>型钢</t>
  </si>
  <si>
    <t>kg</t>
  </si>
  <si>
    <t>4.57</t>
  </si>
  <si>
    <t>水泥</t>
  </si>
  <si>
    <t>42.5MPa</t>
  </si>
  <si>
    <t>456.26</t>
  </si>
  <si>
    <t>碎石</t>
  </si>
  <si>
    <t>132.44</t>
  </si>
  <si>
    <t>柴油</t>
  </si>
  <si>
    <t>0#</t>
  </si>
  <si>
    <t>5.56</t>
  </si>
  <si>
    <t>汽油</t>
  </si>
  <si>
    <t>92#</t>
  </si>
  <si>
    <t>6.71</t>
  </si>
  <si>
    <t>锯材</t>
  </si>
  <si>
    <t>1150.44</t>
  </si>
  <si>
    <t>铁件</t>
  </si>
  <si>
    <t>6.28</t>
  </si>
  <si>
    <t>预埋铁件</t>
  </si>
  <si>
    <t>6.11</t>
  </si>
  <si>
    <t>块石</t>
  </si>
  <si>
    <t>112.20</t>
  </si>
  <si>
    <t>板枋材</t>
  </si>
  <si>
    <t>1327.43</t>
  </si>
  <si>
    <t>中砂</t>
  </si>
  <si>
    <t>191.67</t>
  </si>
  <si>
    <t>13</t>
  </si>
  <si>
    <t>粗砂</t>
  </si>
  <si>
    <t>172.25</t>
  </si>
  <si>
    <t>工程单价计算表</t>
  </si>
  <si>
    <t>土方开挖（外运1km） 工程</t>
  </si>
  <si>
    <t>单价编号：</t>
  </si>
  <si>
    <t>定额单位：100m³</t>
  </si>
  <si>
    <t>施工方法：</t>
  </si>
  <si>
    <t>定额编号:01226。
挖装、运输、卸除、空回。</t>
  </si>
  <si>
    <t>名称</t>
  </si>
  <si>
    <t>数量</t>
  </si>
  <si>
    <t>单价(元)</t>
  </si>
  <si>
    <t>合价(元)</t>
  </si>
  <si>
    <t>直接费</t>
  </si>
  <si>
    <t>元</t>
  </si>
  <si>
    <t>670.41</t>
  </si>
  <si>
    <t>20.76</t>
  </si>
  <si>
    <t>人工</t>
  </si>
  <si>
    <t>工时</t>
  </si>
  <si>
    <t>3.46</t>
  </si>
  <si>
    <t>23.99</t>
  </si>
  <si>
    <t>零星材料费</t>
  </si>
  <si>
    <t>599.64</t>
  </si>
  <si>
    <t>1.3</t>
  </si>
  <si>
    <t>机械使用费</t>
  </si>
  <si>
    <t>578.88</t>
  </si>
  <si>
    <t>单斗挖掘机</t>
  </si>
  <si>
    <t>液压 斗容1m³</t>
  </si>
  <si>
    <t>台时</t>
  </si>
  <si>
    <t>112.25</t>
  </si>
  <si>
    <t>推土机</t>
  </si>
  <si>
    <t>功率59kW</t>
  </si>
  <si>
    <t>0.5</t>
  </si>
  <si>
    <t>55.49</t>
  </si>
  <si>
    <t>27.75</t>
  </si>
  <si>
    <t>自卸汽车</t>
  </si>
  <si>
    <t>载重量8t</t>
  </si>
  <si>
    <t>6.5</t>
  </si>
  <si>
    <t>67.52</t>
  </si>
  <si>
    <t>438.88</t>
  </si>
  <si>
    <t>1.4</t>
  </si>
  <si>
    <t>其他直接费</t>
  </si>
  <si>
    <t>3.5%</t>
  </si>
  <si>
    <t>623.63</t>
  </si>
  <si>
    <t>21.83</t>
  </si>
  <si>
    <t>现场经费</t>
  </si>
  <si>
    <t>4%</t>
  </si>
  <si>
    <t>24.95</t>
  </si>
  <si>
    <t>施工管理费</t>
  </si>
  <si>
    <t>3.7%</t>
  </si>
  <si>
    <t>24.81</t>
  </si>
  <si>
    <t>社会保障及企业计提费</t>
  </si>
  <si>
    <t>32.8%</t>
  </si>
  <si>
    <t>63.49</t>
  </si>
  <si>
    <t>20.82</t>
  </si>
  <si>
    <t>企业利润</t>
  </si>
  <si>
    <t>7%</t>
  </si>
  <si>
    <t>716.04</t>
  </si>
  <si>
    <t>50.12</t>
  </si>
  <si>
    <t>292.02</t>
  </si>
  <si>
    <t>机械工</t>
  </si>
  <si>
    <t>12.35</t>
  </si>
  <si>
    <t>49.40</t>
  </si>
  <si>
    <t>85.4</t>
  </si>
  <si>
    <t>2.56</t>
  </si>
  <si>
    <t>218.62</t>
  </si>
  <si>
    <t>0%</t>
  </si>
  <si>
    <t>1058.18</t>
  </si>
  <si>
    <t>9%</t>
  </si>
  <si>
    <t>95.24</t>
  </si>
  <si>
    <t>1153.42</t>
  </si>
  <si>
    <t>单价</t>
  </si>
  <si>
    <t>清理树枝 工程</t>
  </si>
  <si>
    <t>定额单位：100m²</t>
  </si>
  <si>
    <t>定额编号:01131。
砍挖小树，砍挖清除，运堆放一边。</t>
  </si>
  <si>
    <t>180.78</t>
  </si>
  <si>
    <t>155.70</t>
  </si>
  <si>
    <t>45</t>
  </si>
  <si>
    <t>12.46</t>
  </si>
  <si>
    <t>168.16</t>
  </si>
  <si>
    <t>5.89</t>
  </si>
  <si>
    <t>6.73</t>
  </si>
  <si>
    <t>6.69</t>
  </si>
  <si>
    <t>51.07</t>
  </si>
  <si>
    <t>238.54</t>
  </si>
  <si>
    <t>16.70</t>
  </si>
  <si>
    <t>180.00</t>
  </si>
  <si>
    <t>435.24</t>
  </si>
  <si>
    <t>39.17</t>
  </si>
  <si>
    <t>474.41</t>
  </si>
  <si>
    <t>机械开挖土方（用于墙背夯填） 工程</t>
  </si>
  <si>
    <t>定额编号:01212。
挖松、堆放。</t>
  </si>
  <si>
    <t>167.67</t>
  </si>
  <si>
    <t>13.84</t>
  </si>
  <si>
    <t>7.43</t>
  </si>
  <si>
    <t>148.54</t>
  </si>
  <si>
    <t>134.70</t>
  </si>
  <si>
    <t>155.97</t>
  </si>
  <si>
    <t>5.46</t>
  </si>
  <si>
    <t>6.24</t>
  </si>
  <si>
    <t>25.05</t>
  </si>
  <si>
    <t>8.22</t>
  </si>
  <si>
    <t>182.09</t>
  </si>
  <si>
    <t>12.75</t>
  </si>
  <si>
    <t>74.73</t>
  </si>
  <si>
    <t>16.00</t>
  </si>
  <si>
    <t>3.24</t>
  </si>
  <si>
    <t>12.96</t>
  </si>
  <si>
    <t>17.88</t>
  </si>
  <si>
    <t>45.77</t>
  </si>
  <si>
    <t>269.57</t>
  </si>
  <si>
    <t>24.26</t>
  </si>
  <si>
    <t>293.83</t>
  </si>
  <si>
    <t>编织袋渣土围堰拆除（运0.5km） 工程</t>
  </si>
  <si>
    <t>定额编号:01225。
挖装、运输、卸除、空回。</t>
  </si>
  <si>
    <t>576.03</t>
  </si>
  <si>
    <t>20.61</t>
  </si>
  <si>
    <t>515.24</t>
  </si>
  <si>
    <t>494.48</t>
  </si>
  <si>
    <t>5.25</t>
  </si>
  <si>
    <t>354.48</t>
  </si>
  <si>
    <t>535.85</t>
  </si>
  <si>
    <t>18.75</t>
  </si>
  <si>
    <t>21.43</t>
  </si>
  <si>
    <t>21.31</t>
  </si>
  <si>
    <t>57.86</t>
  </si>
  <si>
    <t>18.98</t>
  </si>
  <si>
    <t>616.32</t>
  </si>
  <si>
    <t>43.14</t>
  </si>
  <si>
    <t>252.88</t>
  </si>
  <si>
    <t>10.725</t>
  </si>
  <si>
    <t>42.90</t>
  </si>
  <si>
    <t>72.65</t>
  </si>
  <si>
    <t>185.98</t>
  </si>
  <si>
    <t>912.34</t>
  </si>
  <si>
    <t>82.11</t>
  </si>
  <si>
    <t>994.45</t>
  </si>
  <si>
    <t>人工抛块石挤淤泥 工程</t>
  </si>
  <si>
    <t>定额单位：100m³抛投方</t>
  </si>
  <si>
    <t>定额编号:03045。
人工装、运、卸、抛投、平整，运距100m以内。</t>
  </si>
  <si>
    <t>4206.95</t>
  </si>
  <si>
    <t>721.06</t>
  </si>
  <si>
    <t>208.4</t>
  </si>
  <si>
    <t>3120.90</t>
  </si>
  <si>
    <t>103</t>
  </si>
  <si>
    <t>30.00</t>
  </si>
  <si>
    <t>3090.00</t>
  </si>
  <si>
    <t>其他材料费</t>
  </si>
  <si>
    <t>30.90</t>
  </si>
  <si>
    <t>3841.96</t>
  </si>
  <si>
    <t>134.47</t>
  </si>
  <si>
    <t>6%</t>
  </si>
  <si>
    <t>230.52</t>
  </si>
  <si>
    <t>5.8%</t>
  </si>
  <si>
    <t>244.00</t>
  </si>
  <si>
    <t>236.51</t>
  </si>
  <si>
    <t>4687.46</t>
  </si>
  <si>
    <t>328.12</t>
  </si>
  <si>
    <t>9300.20</t>
  </si>
  <si>
    <t>833.60</t>
  </si>
  <si>
    <t>82.20</t>
  </si>
  <si>
    <t>8466.60</t>
  </si>
  <si>
    <t>14315.78</t>
  </si>
  <si>
    <t>1288.42</t>
  </si>
  <si>
    <t>15604.20</t>
  </si>
  <si>
    <t>回填土方（利用开挖料） 工程</t>
  </si>
  <si>
    <t>定额单位：100m³实方</t>
  </si>
  <si>
    <t>定额编号:03003*0.3+03026*0.7。
包括5m内取土（石渣）回填、平土、简单压实。
推平、刨毛、压实、削坡、洒水、辅助工作。</t>
  </si>
  <si>
    <t>389.75</t>
  </si>
  <si>
    <t>186.94</t>
  </si>
  <si>
    <t>38.7</t>
  </si>
  <si>
    <t>133.90</t>
  </si>
  <si>
    <t>15.33</t>
  </si>
  <si>
    <t>53.04</t>
  </si>
  <si>
    <t>24.29</t>
  </si>
  <si>
    <t>177.53</t>
  </si>
  <si>
    <t>8.88</t>
  </si>
  <si>
    <t>154.11</t>
  </si>
  <si>
    <t>144.70</t>
  </si>
  <si>
    <t>蛙式夯实机</t>
  </si>
  <si>
    <t>功率2.8kW</t>
  </si>
  <si>
    <t>4.32</t>
  </si>
  <si>
    <t>10.10</t>
  </si>
  <si>
    <t>43.63</t>
  </si>
  <si>
    <t>功率74kW</t>
  </si>
  <si>
    <t>0.35</t>
  </si>
  <si>
    <t>78.70</t>
  </si>
  <si>
    <t>27.55</t>
  </si>
  <si>
    <t>拖拉机</t>
  </si>
  <si>
    <t>履带式 功率74kW</t>
  </si>
  <si>
    <t>0.833</t>
  </si>
  <si>
    <t>57.52</t>
  </si>
  <si>
    <t>47.91</t>
  </si>
  <si>
    <t>羊脚碾</t>
  </si>
  <si>
    <t>重量5～7t</t>
  </si>
  <si>
    <t>1.162</t>
  </si>
  <si>
    <t>2.43</t>
  </si>
  <si>
    <t>刨毛机</t>
  </si>
  <si>
    <t>40.37</t>
  </si>
  <si>
    <t>14.13</t>
  </si>
  <si>
    <t>0.7</t>
  </si>
  <si>
    <t>7.07</t>
  </si>
  <si>
    <t>其他机械费</t>
  </si>
  <si>
    <t>99.09</t>
  </si>
  <si>
    <t>1.98</t>
  </si>
  <si>
    <t>355.93</t>
  </si>
  <si>
    <t>21.36</t>
  </si>
  <si>
    <t>22.61</t>
  </si>
  <si>
    <t>234.41</t>
  </si>
  <si>
    <t>76.89</t>
  </si>
  <si>
    <t>489.25</t>
  </si>
  <si>
    <t>34.25</t>
  </si>
  <si>
    <t>308.24</t>
  </si>
  <si>
    <t>54.03</t>
  </si>
  <si>
    <t>216.12</t>
  </si>
  <si>
    <t>13.719</t>
  </si>
  <si>
    <t>54.88</t>
  </si>
  <si>
    <t>14.547</t>
  </si>
  <si>
    <t>37.24</t>
  </si>
  <si>
    <t>831.74</t>
  </si>
  <si>
    <t>74.86</t>
  </si>
  <si>
    <t>906.60</t>
  </si>
  <si>
    <t>松填腐殖土（外购，5km） 工程</t>
  </si>
  <si>
    <t>定额编号:03001+01230。
包括5m内取土（石渣）回填、平土、简单压实。
挖装、运输、卸除、空回。</t>
  </si>
  <si>
    <t>1414.77</t>
  </si>
  <si>
    <t>197.22</t>
  </si>
  <si>
    <t>51</t>
  </si>
  <si>
    <t>176.46</t>
  </si>
  <si>
    <t>51.39</t>
  </si>
  <si>
    <t>8.82</t>
  </si>
  <si>
    <t>1064.18</t>
  </si>
  <si>
    <t>42.57</t>
  </si>
  <si>
    <t>1043.42</t>
  </si>
  <si>
    <t>13.38</t>
  </si>
  <si>
    <t>903.42</t>
  </si>
  <si>
    <t>1292.03</t>
  </si>
  <si>
    <t>45.22</t>
  </si>
  <si>
    <t>77.52</t>
  </si>
  <si>
    <t>82.06</t>
  </si>
  <si>
    <t>270.89</t>
  </si>
  <si>
    <t>88.85</t>
  </si>
  <si>
    <t>1585.68</t>
  </si>
  <si>
    <t>111.00</t>
  </si>
  <si>
    <t>711.45</t>
  </si>
  <si>
    <t>57</t>
  </si>
  <si>
    <t>228.00</t>
  </si>
  <si>
    <t>21.294</t>
  </si>
  <si>
    <t>85.18</t>
  </si>
  <si>
    <t>155.576</t>
  </si>
  <si>
    <t>398.27</t>
  </si>
  <si>
    <t>2408.13</t>
  </si>
  <si>
    <t>216.73</t>
  </si>
  <si>
    <t>2624.86</t>
  </si>
  <si>
    <t>人工铺筑反滤层 工程</t>
  </si>
  <si>
    <t>定额编号:03063。
运料、分层铺筑、压实、整平与修坡，基本运距30m。</t>
  </si>
  <si>
    <t>5083.71</t>
  </si>
  <si>
    <t>1249.06</t>
  </si>
  <si>
    <t>361</t>
  </si>
  <si>
    <t>3393.60</t>
  </si>
  <si>
    <t>89.6</t>
  </si>
  <si>
    <t>2688.00</t>
  </si>
  <si>
    <t>22.4</t>
  </si>
  <si>
    <t>672.00</t>
  </si>
  <si>
    <t>3360.00</t>
  </si>
  <si>
    <t>33.60</t>
  </si>
  <si>
    <t>4642.66</t>
  </si>
  <si>
    <t>162.49</t>
  </si>
  <si>
    <t>278.56</t>
  </si>
  <si>
    <t>294.86</t>
  </si>
  <si>
    <t>409.69</t>
  </si>
  <si>
    <t>5788.26</t>
  </si>
  <si>
    <t>405.18</t>
  </si>
  <si>
    <t>14244.03</t>
  </si>
  <si>
    <t>1444.00</t>
  </si>
  <si>
    <t>102.44</t>
  </si>
  <si>
    <t>9178.62</t>
  </si>
  <si>
    <t>161.67</t>
  </si>
  <si>
    <t>3621.41</t>
  </si>
  <si>
    <t>20437.47</t>
  </si>
  <si>
    <t>1839.37</t>
  </si>
  <si>
    <t>22276.84</t>
  </si>
  <si>
    <t>人工铺筑碎石垫层（厚100mm） 工程</t>
  </si>
  <si>
    <t>定额编号:03062。
运料、分层铺筑、压实、整平与修坡，基本运距30m。</t>
  </si>
  <si>
    <t>4751.93</t>
  </si>
  <si>
    <t>3090.60</t>
  </si>
  <si>
    <t>102</t>
  </si>
  <si>
    <t>3060.00</t>
  </si>
  <si>
    <t>30.60</t>
  </si>
  <si>
    <t>4339.66</t>
  </si>
  <si>
    <t>151.89</t>
  </si>
  <si>
    <t>260.38</t>
  </si>
  <si>
    <t>275.61</t>
  </si>
  <si>
    <t>5437.23</t>
  </si>
  <si>
    <t>380.61</t>
  </si>
  <si>
    <t>11892.88</t>
  </si>
  <si>
    <t>10448.88</t>
  </si>
  <si>
    <t>17710.72</t>
  </si>
  <si>
    <t>1593.96</t>
  </si>
  <si>
    <t>19304.68</t>
  </si>
  <si>
    <t>沥青木板伸缩缝 工程</t>
  </si>
  <si>
    <t>定额编号:04457。
木板制作、熔化、涂沥青、安装。</t>
  </si>
  <si>
    <t>7041.91</t>
  </si>
  <si>
    <t>744.94</t>
  </si>
  <si>
    <t>215.3</t>
  </si>
  <si>
    <t>5683.27</t>
  </si>
  <si>
    <t>800.00</t>
  </si>
  <si>
    <t>1760.00</t>
  </si>
  <si>
    <t>木柴</t>
  </si>
  <si>
    <t>0.42</t>
  </si>
  <si>
    <t>350.00</t>
  </si>
  <si>
    <t>147.00</t>
  </si>
  <si>
    <t>沥青</t>
  </si>
  <si>
    <t>1.24</t>
  </si>
  <si>
    <t>3000.00</t>
  </si>
  <si>
    <t>3720.00</t>
  </si>
  <si>
    <t>5627.00</t>
  </si>
  <si>
    <t>56.27</t>
  </si>
  <si>
    <t>双胶轮车</t>
  </si>
  <si>
    <t>3.36</t>
  </si>
  <si>
    <t>6430.97</t>
  </si>
  <si>
    <t>225.08</t>
  </si>
  <si>
    <t>385.86</t>
  </si>
  <si>
    <t>260.55</t>
  </si>
  <si>
    <t>244.34</t>
  </si>
  <si>
    <t>7546.80</t>
  </si>
  <si>
    <t>528.28</t>
  </si>
  <si>
    <t>2524.97</t>
  </si>
  <si>
    <t>861.20</t>
  </si>
  <si>
    <t>350.44</t>
  </si>
  <si>
    <t>770.97</t>
  </si>
  <si>
    <t>720.00</t>
  </si>
  <si>
    <t>892.80</t>
  </si>
  <si>
    <t>10600.05</t>
  </si>
  <si>
    <t>954.00</t>
  </si>
  <si>
    <t>11554.05</t>
  </si>
  <si>
    <t>C20砼步阶 工程</t>
  </si>
  <si>
    <t>定额编号:04115+04264*1.03+04280*1.03。
其他混凝土，零星结构
场内配运水泥、骨料、投料、加水、加外加剂、搅拌、出料、清洗。
装、运、卸、清洗。</t>
  </si>
  <si>
    <t>19452.06</t>
  </si>
  <si>
    <t>4723.49</t>
  </si>
  <si>
    <t>1016</t>
  </si>
  <si>
    <t>3515.36</t>
  </si>
  <si>
    <t>249.26</t>
  </si>
  <si>
    <t>862.44</t>
  </si>
  <si>
    <t>99.91</t>
  </si>
  <si>
    <t>345.69</t>
  </si>
  <si>
    <t>12138.31</t>
  </si>
  <si>
    <t>水</t>
  </si>
  <si>
    <t>120</t>
  </si>
  <si>
    <t>60.00</t>
  </si>
  <si>
    <t>C20纯混凝土</t>
  </si>
  <si>
    <t>42.5MPa 2级配 水灰比0.6 最大粒径40mm</t>
  </si>
  <si>
    <t>114.45</t>
  </si>
  <si>
    <t>11788.35</t>
  </si>
  <si>
    <t>11848.35</t>
  </si>
  <si>
    <t>236.97</t>
  </si>
  <si>
    <t>1314.46</t>
  </si>
  <si>
    <t>26.29</t>
  </si>
  <si>
    <t>444.93</t>
  </si>
  <si>
    <t>26.70</t>
  </si>
  <si>
    <t>902.63</t>
  </si>
  <si>
    <t>振动器</t>
  </si>
  <si>
    <t>插入式 功率1.1kW</t>
  </si>
  <si>
    <t>35.6</t>
  </si>
  <si>
    <t>2.07</t>
  </si>
  <si>
    <t>73.69</t>
  </si>
  <si>
    <t>风(砂)水枪</t>
  </si>
  <si>
    <t>耗风量6m³/min</t>
  </si>
  <si>
    <t>7.44</t>
  </si>
  <si>
    <t>33.03</t>
  </si>
  <si>
    <t>245.74</t>
  </si>
  <si>
    <t>319.43</t>
  </si>
  <si>
    <t>31.94</t>
  </si>
  <si>
    <t>混凝土搅拌机</t>
  </si>
  <si>
    <t>出料0.4m³</t>
  </si>
  <si>
    <t>18.54</t>
  </si>
  <si>
    <t>20.60</t>
  </si>
  <si>
    <t>381.92</t>
  </si>
  <si>
    <t>85.49</t>
  </si>
  <si>
    <t>70.10</t>
  </si>
  <si>
    <t>121.025</t>
  </si>
  <si>
    <t>99.24</t>
  </si>
  <si>
    <t>17764.43</t>
  </si>
  <si>
    <t>621.76</t>
  </si>
  <si>
    <t>1065.87</t>
  </si>
  <si>
    <t>719.73</t>
  </si>
  <si>
    <t>4806.88</t>
  </si>
  <si>
    <t>1576.66</t>
  </si>
  <si>
    <t>21748.45</t>
  </si>
  <si>
    <t>1522.39</t>
  </si>
  <si>
    <t>28935.41</t>
  </si>
  <si>
    <t>1365.17</t>
  </si>
  <si>
    <t>5460.68</t>
  </si>
  <si>
    <t>24.102</t>
  </si>
  <si>
    <t>96.41</t>
  </si>
  <si>
    <t>29.571</t>
  </si>
  <si>
    <t>206.26</t>
  </si>
  <si>
    <t>6099.31</t>
  </si>
  <si>
    <t>88.436</t>
  </si>
  <si>
    <t>9059.38</t>
  </si>
  <si>
    <t>57.783</t>
  </si>
  <si>
    <t>142.25</t>
  </si>
  <si>
    <t>8219.63</t>
  </si>
  <si>
    <t>52206.25</t>
  </si>
  <si>
    <t>4698.56</t>
  </si>
  <si>
    <t>56904.81</t>
  </si>
  <si>
    <t>C25砼消力池 工程</t>
  </si>
  <si>
    <t>20261.93</t>
  </si>
  <si>
    <t>12877.93</t>
  </si>
  <si>
    <t>C25纯混凝土</t>
  </si>
  <si>
    <t>42.5MPa 2级配 水灰比0.55 最大粒径40mm</t>
  </si>
  <si>
    <t>121.49</t>
  </si>
  <si>
    <t>12513.47</t>
  </si>
  <si>
    <t>12573.47</t>
  </si>
  <si>
    <t>251.47</t>
  </si>
  <si>
    <t>18504.05</t>
  </si>
  <si>
    <t>647.64</t>
  </si>
  <si>
    <t>1110.24</t>
  </si>
  <si>
    <t>749.69</t>
  </si>
  <si>
    <t>22588.28</t>
  </si>
  <si>
    <t>1581.18</t>
  </si>
  <si>
    <t>29267.54</t>
  </si>
  <si>
    <t>32.744</t>
  </si>
  <si>
    <t>6753.78</t>
  </si>
  <si>
    <t>55.517</t>
  </si>
  <si>
    <t>7897.29</t>
  </si>
  <si>
    <t>53437.00</t>
  </si>
  <si>
    <t>4809.33</t>
  </si>
  <si>
    <t>58246.33</t>
  </si>
  <si>
    <t>C15砼挡墙（平均厚60cm） 工程</t>
  </si>
  <si>
    <t>14</t>
  </si>
  <si>
    <t>定额编号:04074*0.8+04077*0.2+04264*1.03+04280*1.03。
施工准备、仓面冲（凿）毛、冲洗、清仓、验收、浇筑、养护等。
场内配运水泥、骨料、投料、加水、加外加剂、搅拌、出料、清洗。
装、运、卸、清洗。</t>
  </si>
  <si>
    <t>16750.24</t>
  </si>
  <si>
    <t>2844.71</t>
  </si>
  <si>
    <t>383.2</t>
  </si>
  <si>
    <t>1325.87</t>
  </si>
  <si>
    <t>89.8</t>
  </si>
  <si>
    <t>310.71</t>
  </si>
  <si>
    <t>10629.05</t>
  </si>
  <si>
    <t>72</t>
  </si>
  <si>
    <t>36.00</t>
  </si>
  <si>
    <t>C15纯混凝土</t>
  </si>
  <si>
    <t>42.5MPa 2级配 水灰比0.65 最大粒径40mm</t>
  </si>
  <si>
    <t>82.4</t>
  </si>
  <si>
    <t>100.23</t>
  </si>
  <si>
    <t>8258.95</t>
  </si>
  <si>
    <t>8294.95</t>
  </si>
  <si>
    <t>165.90</t>
  </si>
  <si>
    <t>9.00</t>
  </si>
  <si>
    <t>20.6</t>
  </si>
  <si>
    <t>2064.74</t>
  </si>
  <si>
    <t>2073.74</t>
  </si>
  <si>
    <t>41.47</t>
  </si>
  <si>
    <t>1823.26</t>
  </si>
  <si>
    <t>混凝土输送泵</t>
  </si>
  <si>
    <t>输出量30m³/h</t>
  </si>
  <si>
    <t>7.296</t>
  </si>
  <si>
    <t>78.73</t>
  </si>
  <si>
    <t>574.41</t>
  </si>
  <si>
    <t>29.16</t>
  </si>
  <si>
    <t>60.36</t>
  </si>
  <si>
    <t>8.96</t>
  </si>
  <si>
    <t>295.95</t>
  </si>
  <si>
    <t>930.72</t>
  </si>
  <si>
    <t>120.99</t>
  </si>
  <si>
    <t>1.366</t>
  </si>
  <si>
    <t>107.55</t>
  </si>
  <si>
    <t>13.41</t>
  </si>
  <si>
    <t>2.24</t>
  </si>
  <si>
    <t>73.99</t>
  </si>
  <si>
    <t>194.95</t>
  </si>
  <si>
    <t>25.34</t>
  </si>
  <si>
    <t>15297.02</t>
  </si>
  <si>
    <t>535.40</t>
  </si>
  <si>
    <t>917.82</t>
  </si>
  <si>
    <t>619.76</t>
  </si>
  <si>
    <t>3000.02</t>
  </si>
  <si>
    <t>984.01</t>
  </si>
  <si>
    <t>18354.01</t>
  </si>
  <si>
    <t>1284.78</t>
  </si>
  <si>
    <t>25772.03</t>
  </si>
  <si>
    <t>822.17</t>
  </si>
  <si>
    <t>3288.68</t>
  </si>
  <si>
    <t>44.891</t>
  </si>
  <si>
    <t>179.56</t>
  </si>
  <si>
    <t>23.58</t>
  </si>
  <si>
    <t>4863.61</t>
  </si>
  <si>
    <t>58.916</t>
  </si>
  <si>
    <t>8380.80</t>
  </si>
  <si>
    <t>45410.82</t>
  </si>
  <si>
    <t>4086.97</t>
  </si>
  <si>
    <t>49497.79</t>
  </si>
  <si>
    <t>C15平台砼（厚10cm） 工程</t>
  </si>
  <si>
    <t>15</t>
  </si>
  <si>
    <t>定额编号:04035+04264*1.03+04280*1.03。
施工准备、仓面冲（凿）毛、冲洗、清仓、验收、浇筑、养护等。
场内配运水泥、骨料、投料、加水、加外加剂、搅拌、出料、清洗。
装、运、卸、清洗。</t>
  </si>
  <si>
    <t>17186.32</t>
  </si>
  <si>
    <t>2727.07</t>
  </si>
  <si>
    <t>439</t>
  </si>
  <si>
    <t>1518.94</t>
  </si>
  <si>
    <t>10478.55</t>
  </si>
  <si>
    <t>100</t>
  </si>
  <si>
    <t>50.00</t>
  </si>
  <si>
    <t>10323.69</t>
  </si>
  <si>
    <t>10373.69</t>
  </si>
  <si>
    <t>51.87</t>
  </si>
  <si>
    <t>2489.65</t>
  </si>
  <si>
    <t>变频机组 容量4.5kVA</t>
  </si>
  <si>
    <t>18.73</t>
  </si>
  <si>
    <t>9.13</t>
  </si>
  <si>
    <t>171.00</t>
  </si>
  <si>
    <t>45.15</t>
  </si>
  <si>
    <t>1491.30</t>
  </si>
  <si>
    <t>离心水泵</t>
  </si>
  <si>
    <t>单级双吸 功率20kW</t>
  </si>
  <si>
    <t>9.55</t>
  </si>
  <si>
    <t>26.90</t>
  </si>
  <si>
    <t>256.90</t>
  </si>
  <si>
    <t>1919.20</t>
  </si>
  <si>
    <t>19.19</t>
  </si>
  <si>
    <t>15695.27</t>
  </si>
  <si>
    <t>549.33</t>
  </si>
  <si>
    <t>941.72</t>
  </si>
  <si>
    <t>635.89</t>
  </si>
  <si>
    <t>2853.42</t>
  </si>
  <si>
    <t>935.92</t>
  </si>
  <si>
    <t>18758.13</t>
  </si>
  <si>
    <t>1313.07</t>
  </si>
  <si>
    <t>25602.54</t>
  </si>
  <si>
    <t>788.17</t>
  </si>
  <si>
    <t>3152.68</t>
  </si>
  <si>
    <t>36.517</t>
  </si>
  <si>
    <t>146.07</t>
  </si>
  <si>
    <t>45673.74</t>
  </si>
  <si>
    <t>4110.64</t>
  </si>
  <si>
    <t>49784.38</t>
  </si>
  <si>
    <t>C15涵管基础混凝土(0.3m) 工程</t>
  </si>
  <si>
    <t>16</t>
  </si>
  <si>
    <t>定额编号:04113+04264*1.03+04280*1.03。
其他混凝土，基础
场内配运水泥、骨料、投料、加水、加外加剂、搅拌、出料、清洗。
装、运、卸、清洗。</t>
  </si>
  <si>
    <t>15981.04</t>
  </si>
  <si>
    <t>2408.75</t>
  </si>
  <si>
    <t>347</t>
  </si>
  <si>
    <t>1200.62</t>
  </si>
  <si>
    <t>10644.35</t>
  </si>
  <si>
    <t>10383.69</t>
  </si>
  <si>
    <t>207.67</t>
  </si>
  <si>
    <t>1541.46</t>
  </si>
  <si>
    <t>20</t>
  </si>
  <si>
    <t>41.40</t>
  </si>
  <si>
    <t>26</t>
  </si>
  <si>
    <t>858.78</t>
  </si>
  <si>
    <t>900.18</t>
  </si>
  <si>
    <t>90.02</t>
  </si>
  <si>
    <t>14594.56</t>
  </si>
  <si>
    <t>510.81</t>
  </si>
  <si>
    <t>875.67</t>
  </si>
  <si>
    <t>591.30</t>
  </si>
  <si>
    <t>2492.14</t>
  </si>
  <si>
    <t>817.42</t>
  </si>
  <si>
    <t>17389.76</t>
  </si>
  <si>
    <t>1217.28</t>
  </si>
  <si>
    <t>25184.88</t>
  </si>
  <si>
    <t>696.17</t>
  </si>
  <si>
    <t>2784.68</t>
  </si>
  <si>
    <t>43791.92</t>
  </si>
  <si>
    <t>3941.27</t>
  </si>
  <si>
    <t>47733.19</t>
  </si>
  <si>
    <t>C30预制混凝土桩（运距1～5km） 工程</t>
  </si>
  <si>
    <t>17</t>
  </si>
  <si>
    <t>定额编号:04172+04220。
模板制作、安装、拆除，混凝土拌制、场内运输、浇筑、养护、堆放。
装车、运输、卸车并按指定地点堆放等。</t>
  </si>
  <si>
    <t>37714.24</t>
  </si>
  <si>
    <t>6677.80</t>
  </si>
  <si>
    <t>1777</t>
  </si>
  <si>
    <t>6148.42</t>
  </si>
  <si>
    <t>153</t>
  </si>
  <si>
    <t>529.38</t>
  </si>
  <si>
    <t>22036.07</t>
  </si>
  <si>
    <t>51.00</t>
  </si>
  <si>
    <t>组合钢模板</t>
  </si>
  <si>
    <t>761</t>
  </si>
  <si>
    <t>2283.00</t>
  </si>
  <si>
    <t>铁钉</t>
  </si>
  <si>
    <t>0.71</t>
  </si>
  <si>
    <t>4.87</t>
  </si>
  <si>
    <t>710</t>
  </si>
  <si>
    <t>4458.80</t>
  </si>
  <si>
    <t>75</t>
  </si>
  <si>
    <t>458.25</t>
  </si>
  <si>
    <t>136.00</t>
  </si>
  <si>
    <t>焊条</t>
  </si>
  <si>
    <t>7.86</t>
  </si>
  <si>
    <t>5.40</t>
  </si>
  <si>
    <t>42.44</t>
  </si>
  <si>
    <t>C30纯混凝土</t>
  </si>
  <si>
    <t>42.5MPa 1级配 水灰比0.5 最大粒径20mm</t>
  </si>
  <si>
    <t>136.88</t>
  </si>
  <si>
    <t>13961.76</t>
  </si>
  <si>
    <t>21394.71</t>
  </si>
  <si>
    <t>427.89</t>
  </si>
  <si>
    <t>75.36</t>
  </si>
  <si>
    <t>211.36</t>
  </si>
  <si>
    <t>2.11</t>
  </si>
  <si>
    <t>5728.36</t>
  </si>
  <si>
    <t>18.45</t>
  </si>
  <si>
    <t>380.07</t>
  </si>
  <si>
    <t>插入式 功率2.2kW</t>
  </si>
  <si>
    <t>48.6</t>
  </si>
  <si>
    <t>3.62</t>
  </si>
  <si>
    <t>175.93</t>
  </si>
  <si>
    <t>载重汽车</t>
  </si>
  <si>
    <t>载重量5t</t>
  </si>
  <si>
    <t>42.94</t>
  </si>
  <si>
    <t>69.56</t>
  </si>
  <si>
    <t>电焊机</t>
  </si>
  <si>
    <t>直流30kW</t>
  </si>
  <si>
    <t>9.59</t>
  </si>
  <si>
    <t>26.92</t>
  </si>
  <si>
    <t>258.16</t>
  </si>
  <si>
    <t>883.72</t>
  </si>
  <si>
    <t>132.56</t>
  </si>
  <si>
    <t>载重量10t</t>
  </si>
  <si>
    <t>39.6</t>
  </si>
  <si>
    <t>68.84</t>
  </si>
  <si>
    <t>2726.06</t>
  </si>
  <si>
    <t>汽车起重机</t>
  </si>
  <si>
    <t>起重量5t</t>
  </si>
  <si>
    <t>49.56</t>
  </si>
  <si>
    <t>1962.58</t>
  </si>
  <si>
    <t>4688.64</t>
  </si>
  <si>
    <t>23.44</t>
  </si>
  <si>
    <t>34442.23</t>
  </si>
  <si>
    <t>1205.48</t>
  </si>
  <si>
    <t>2066.53</t>
  </si>
  <si>
    <t>1395.43</t>
  </si>
  <si>
    <t>7316.14</t>
  </si>
  <si>
    <t>2399.69</t>
  </si>
  <si>
    <t>41509.36</t>
  </si>
  <si>
    <t>2905.66</t>
  </si>
  <si>
    <t>36968.10</t>
  </si>
  <si>
    <t>1930</t>
  </si>
  <si>
    <t>7720.00</t>
  </si>
  <si>
    <t>184.491</t>
  </si>
  <si>
    <t>737.96</t>
  </si>
  <si>
    <t>3.02</t>
  </si>
  <si>
    <t>2298.22</t>
  </si>
  <si>
    <t>39.607</t>
  </si>
  <si>
    <t>8169.34</t>
  </si>
  <si>
    <t>78.928</t>
  </si>
  <si>
    <t>8085.38</t>
  </si>
  <si>
    <t>352.44</t>
  </si>
  <si>
    <t>902.25</t>
  </si>
  <si>
    <t>241.344</t>
  </si>
  <si>
    <t>3.71</t>
  </si>
  <si>
    <t>895.39</t>
  </si>
  <si>
    <t>527.43</t>
  </si>
  <si>
    <t>179.33</t>
  </si>
  <si>
    <t>56.1</t>
  </si>
  <si>
    <t>7980.23</t>
  </si>
  <si>
    <t>81383.12</t>
  </si>
  <si>
    <t>7324.48</t>
  </si>
  <si>
    <t>88707.60</t>
  </si>
  <si>
    <t>一般钢筋机械制作安装 工程</t>
  </si>
  <si>
    <t>19</t>
  </si>
  <si>
    <t>定额单位：t</t>
  </si>
  <si>
    <t>定额编号:04431。
回直、除锈、切断、弯制、焊接、绑扎、加工场到施工场地运输。</t>
  </si>
  <si>
    <t>4170.82</t>
  </si>
  <si>
    <t>97.9</t>
  </si>
  <si>
    <t>1.07</t>
  </si>
  <si>
    <t>3210.00</t>
  </si>
  <si>
    <t>铁丝</t>
  </si>
  <si>
    <t>6.46</t>
  </si>
  <si>
    <t>25.84</t>
  </si>
  <si>
    <t>7.22</t>
  </si>
  <si>
    <t>38.99</t>
  </si>
  <si>
    <t>3274.83</t>
  </si>
  <si>
    <t>32.75</t>
  </si>
  <si>
    <t>49.55</t>
  </si>
  <si>
    <t>19.32</t>
  </si>
  <si>
    <t>塔式起重机</t>
  </si>
  <si>
    <t>起重量6t</t>
  </si>
  <si>
    <t>0.1</t>
  </si>
  <si>
    <t>58.79</t>
  </si>
  <si>
    <t>5.88</t>
  </si>
  <si>
    <t>交流25kVA</t>
  </si>
  <si>
    <t>12.84</t>
  </si>
  <si>
    <t>128.40</t>
  </si>
  <si>
    <t>对焊机</t>
  </si>
  <si>
    <t>电弧型150kVA</t>
  </si>
  <si>
    <t>0.4</t>
  </si>
  <si>
    <t>79.21</t>
  </si>
  <si>
    <t>31.68</t>
  </si>
  <si>
    <t>钢筋弯曲机</t>
  </si>
  <si>
    <t>直径6～40</t>
  </si>
  <si>
    <t>11.58</t>
  </si>
  <si>
    <t>12.16</t>
  </si>
  <si>
    <t>钢筋切断机</t>
  </si>
  <si>
    <t>功率20kW</t>
  </si>
  <si>
    <t>21.84</t>
  </si>
  <si>
    <t>8.74</t>
  </si>
  <si>
    <t>钢筋调直机</t>
  </si>
  <si>
    <t>功率4～14kW</t>
  </si>
  <si>
    <t>0.6</t>
  </si>
  <si>
    <t>14.88</t>
  </si>
  <si>
    <t>8.93</t>
  </si>
  <si>
    <t>264.66</t>
  </si>
  <si>
    <t>3916.26</t>
  </si>
  <si>
    <t>3%</t>
  </si>
  <si>
    <t>352.60</t>
  </si>
  <si>
    <t>4432.45</t>
  </si>
  <si>
    <t>391.60</t>
  </si>
  <si>
    <t>4.01</t>
  </si>
  <si>
    <t>16.04</t>
  </si>
  <si>
    <t>913.52</t>
  </si>
  <si>
    <t>977.47</t>
  </si>
  <si>
    <t>12.02</t>
  </si>
  <si>
    <t>6139.85</t>
  </si>
  <si>
    <t>普通标准钢模板制作、安拆 工程</t>
  </si>
  <si>
    <t>定额编号:05001+05002。
预埋铁件制作，模板运输，模板安装、拆除、除灰、刷脱模剂，维修、倒仓，拉筋割断。</t>
  </si>
  <si>
    <t>2925.38</t>
  </si>
  <si>
    <t>740.44</t>
  </si>
  <si>
    <t>41.52</t>
  </si>
  <si>
    <t>698.92</t>
  </si>
  <si>
    <t>1434.80</t>
  </si>
  <si>
    <t>79.57</t>
  </si>
  <si>
    <t>238.71</t>
  </si>
  <si>
    <t>42.97</t>
  </si>
  <si>
    <t>128.91</t>
  </si>
  <si>
    <t>卡扣件</t>
  </si>
  <si>
    <t>25.33</t>
  </si>
  <si>
    <t>6.90</t>
  </si>
  <si>
    <t>174.78</t>
  </si>
  <si>
    <t>554.52</t>
  </si>
  <si>
    <t>11.09</t>
  </si>
  <si>
    <t>121.68</t>
  </si>
  <si>
    <t>743.46</t>
  </si>
  <si>
    <t>预制混凝土柱</t>
  </si>
  <si>
    <t>0.28</t>
  </si>
  <si>
    <t>98.00</t>
  </si>
  <si>
    <t>10.69</t>
  </si>
  <si>
    <t>852.15</t>
  </si>
  <si>
    <t>17.04</t>
  </si>
  <si>
    <t>496.34</t>
  </si>
  <si>
    <t>0.36</t>
  </si>
  <si>
    <t>15.46</t>
  </si>
  <si>
    <t>8.99</t>
  </si>
  <si>
    <t>1.31</t>
  </si>
  <si>
    <t>25.76</t>
  </si>
  <si>
    <t>1.29</t>
  </si>
  <si>
    <t>8.5</t>
  </si>
  <si>
    <t>421.26</t>
  </si>
  <si>
    <t>25.68</t>
  </si>
  <si>
    <t>446.94</t>
  </si>
  <si>
    <t>22.35</t>
  </si>
  <si>
    <t>2671.58</t>
  </si>
  <si>
    <t>93.51</t>
  </si>
  <si>
    <t>160.29</t>
  </si>
  <si>
    <t>5.7%</t>
  </si>
  <si>
    <t>166.75</t>
  </si>
  <si>
    <t>821.74</t>
  </si>
  <si>
    <t>269.53</t>
  </si>
  <si>
    <t>3361.66</t>
  </si>
  <si>
    <t>235.32</t>
  </si>
  <si>
    <t>1450.26</t>
  </si>
  <si>
    <t>214</t>
  </si>
  <si>
    <t>856.00</t>
  </si>
  <si>
    <t>23.496</t>
  </si>
  <si>
    <t>93.98</t>
  </si>
  <si>
    <t>240.30</t>
  </si>
  <si>
    <t>67.46</t>
  </si>
  <si>
    <t>51.892</t>
  </si>
  <si>
    <t>192.52</t>
  </si>
  <si>
    <t>5047.24</t>
  </si>
  <si>
    <t>454.25</t>
  </si>
  <si>
    <t>5501.49</t>
  </si>
  <si>
    <t>草皮护坡 工程</t>
  </si>
  <si>
    <t>21</t>
  </si>
  <si>
    <t>定额编号:09060。
清理边坡、搬运草皮、铺草皮、拍紧、钉木橛子、浇水、清理。</t>
  </si>
  <si>
    <t>827.59</t>
  </si>
  <si>
    <t>152.24</t>
  </si>
  <si>
    <t>44</t>
  </si>
  <si>
    <t>624.84</t>
  </si>
  <si>
    <t>草皮</t>
  </si>
  <si>
    <t>104</t>
  </si>
  <si>
    <t>5.00</t>
  </si>
  <si>
    <t>520.00</t>
  </si>
  <si>
    <t>520.70</t>
  </si>
  <si>
    <t>104.14</t>
  </si>
  <si>
    <t>2.5%</t>
  </si>
  <si>
    <t>777.08</t>
  </si>
  <si>
    <t>19.43</t>
  </si>
  <si>
    <t>31.08</t>
  </si>
  <si>
    <t>3.8%</t>
  </si>
  <si>
    <t>31.45</t>
  </si>
  <si>
    <t>49.93</t>
  </si>
  <si>
    <t>908.97</t>
  </si>
  <si>
    <t>63.63</t>
  </si>
  <si>
    <t>176.00</t>
  </si>
  <si>
    <t>1148.60</t>
  </si>
  <si>
    <t>103.37</t>
  </si>
  <si>
    <t>1251.97</t>
  </si>
  <si>
    <t>编织袋渣土围堰填筑（利用渣料） 工程</t>
  </si>
  <si>
    <t>22</t>
  </si>
  <si>
    <t>定额编号:11066。
装土（石）、封包、堆筑。</t>
  </si>
  <si>
    <t>3268.11</t>
  </si>
  <si>
    <t>1345.59</t>
  </si>
  <si>
    <t>388.9</t>
  </si>
  <si>
    <t>1666.50</t>
  </si>
  <si>
    <t>编织袋</t>
  </si>
  <si>
    <t>个</t>
  </si>
  <si>
    <t>3300</t>
  </si>
  <si>
    <t>1650.00</t>
  </si>
  <si>
    <t>16.50</t>
  </si>
  <si>
    <t>3012.09</t>
  </si>
  <si>
    <t>105.42</t>
  </si>
  <si>
    <t>5%</t>
  </si>
  <si>
    <t>150.60</t>
  </si>
  <si>
    <t>4.8%</t>
  </si>
  <si>
    <t>156.87</t>
  </si>
  <si>
    <t>441.35</t>
  </si>
  <si>
    <t>3866.33</t>
  </si>
  <si>
    <t>270.64</t>
  </si>
  <si>
    <t>1555.60</t>
  </si>
  <si>
    <t>5692.57</t>
  </si>
  <si>
    <t>512.33</t>
  </si>
  <si>
    <t>6204.90</t>
  </si>
  <si>
    <t>履带式柴油打桩机打预制桩 工程</t>
  </si>
  <si>
    <t>24</t>
  </si>
  <si>
    <t>定额单位：10m³桩</t>
  </si>
  <si>
    <t>定额编号:套建筑定额2013。
参考2013年工民建定额A2-18，人工636.96，折算人工工时636.96/7.46=85.38工时。</t>
  </si>
  <si>
    <t>1073.90</t>
  </si>
  <si>
    <t>333.82</t>
  </si>
  <si>
    <t>96.479</t>
  </si>
  <si>
    <t>56.81</t>
  </si>
  <si>
    <t>0.04</t>
  </si>
  <si>
    <t>32.00</t>
  </si>
  <si>
    <t>麻袋</t>
  </si>
  <si>
    <t>2.5</t>
  </si>
  <si>
    <t>1.00</t>
  </si>
  <si>
    <t>2.50</t>
  </si>
  <si>
    <t>金属周转材料摊销</t>
  </si>
  <si>
    <t>3.93</t>
  </si>
  <si>
    <t>15.44</t>
  </si>
  <si>
    <t>草袋片</t>
  </si>
  <si>
    <t>片</t>
  </si>
  <si>
    <t>4.5</t>
  </si>
  <si>
    <t>1.28</t>
  </si>
  <si>
    <t>5.76</t>
  </si>
  <si>
    <t>55.70</t>
  </si>
  <si>
    <t>608.35</t>
  </si>
  <si>
    <t>柴油打桩机</t>
  </si>
  <si>
    <t>锤头重量2～4t</t>
  </si>
  <si>
    <t>7.458</t>
  </si>
  <si>
    <t>81.57</t>
  </si>
  <si>
    <t>998.98</t>
  </si>
  <si>
    <t>34.96</t>
  </si>
  <si>
    <t>39.96</t>
  </si>
  <si>
    <t>39.73</t>
  </si>
  <si>
    <t>434.46</t>
  </si>
  <si>
    <t>142.50</t>
  </si>
  <si>
    <t>1256.13</t>
  </si>
  <si>
    <t>87.93</t>
  </si>
  <si>
    <t>599.73</t>
  </si>
  <si>
    <t>385.92</t>
  </si>
  <si>
    <t>29.086</t>
  </si>
  <si>
    <t>116.34</t>
  </si>
  <si>
    <t>29.832</t>
  </si>
  <si>
    <t>76.37</t>
  </si>
  <si>
    <t>21.10</t>
  </si>
  <si>
    <t>1943.79</t>
  </si>
  <si>
    <t>174.94</t>
  </si>
  <si>
    <t>2118.73</t>
  </si>
  <si>
    <t>预制混凝土管安装，公称直径500mm 工程</t>
  </si>
  <si>
    <t>25</t>
  </si>
  <si>
    <t>定额单位：100m</t>
  </si>
  <si>
    <t>定额编号:10304。
检查及清理管材、管道和管件安装、上胶圈、对口、调直；管道试压等。</t>
  </si>
  <si>
    <t>2631.40</t>
  </si>
  <si>
    <t>1473.96</t>
  </si>
  <si>
    <t>426</t>
  </si>
  <si>
    <t>7.52</t>
  </si>
  <si>
    <t>润滑油</t>
  </si>
  <si>
    <t>2.28</t>
  </si>
  <si>
    <t>6.84</t>
  </si>
  <si>
    <t>0.68</t>
  </si>
  <si>
    <t>416.42</t>
  </si>
  <si>
    <t>291.41</t>
  </si>
  <si>
    <t>电动卷扬机</t>
  </si>
  <si>
    <t>双筒慢速 起重量5t</t>
  </si>
  <si>
    <t>20.39</t>
  </si>
  <si>
    <t>85.64</t>
  </si>
  <si>
    <t>试压泵</t>
  </si>
  <si>
    <t>2.5MPa</t>
  </si>
  <si>
    <t>6.76</t>
  </si>
  <si>
    <t>8.52</t>
  </si>
  <si>
    <t>385.57</t>
  </si>
  <si>
    <t>30.85</t>
  </si>
  <si>
    <t>1897.90</t>
  </si>
  <si>
    <t>70.22</t>
  </si>
  <si>
    <t>45%</t>
  </si>
  <si>
    <t>663.28</t>
  </si>
  <si>
    <t>47%</t>
  </si>
  <si>
    <t>692.76</t>
  </si>
  <si>
    <t>1553.45</t>
  </si>
  <si>
    <t>509.53</t>
  </si>
  <si>
    <t>3833.69</t>
  </si>
  <si>
    <t>268.36</t>
  </si>
  <si>
    <t>装置性材料费</t>
  </si>
  <si>
    <t>10345.00</t>
  </si>
  <si>
    <t>预制混凝土管</t>
  </si>
  <si>
    <t>DN500</t>
  </si>
  <si>
    <t>103.45</t>
  </si>
  <si>
    <t>1961.19</t>
  </si>
  <si>
    <t>1704.00</t>
  </si>
  <si>
    <t>22.974</t>
  </si>
  <si>
    <t>91.90</t>
  </si>
  <si>
    <t>34.104</t>
  </si>
  <si>
    <t>126.53</t>
  </si>
  <si>
    <t>17.00</t>
  </si>
  <si>
    <t>38.76</t>
  </si>
  <si>
    <t>16408.24</t>
  </si>
  <si>
    <t>1476.74</t>
  </si>
  <si>
    <t>17884.98</t>
  </si>
  <si>
    <t>预制混凝土管安装，公称直径400mm 工程</t>
  </si>
  <si>
    <t>定额编号:10303。
检查及清理管材、管道和管件安装、上胶圈、对口、调直；管道试压等。</t>
  </si>
  <si>
    <t>2029.14</t>
  </si>
  <si>
    <t>1179.86</t>
  </si>
  <si>
    <t>341</t>
  </si>
  <si>
    <t>6.01</t>
  </si>
  <si>
    <t>1.82</t>
  </si>
  <si>
    <t>0.55</t>
  </si>
  <si>
    <t>258.87</t>
  </si>
  <si>
    <t>4.7</t>
  </si>
  <si>
    <t>232.93</t>
  </si>
  <si>
    <t>239.69</t>
  </si>
  <si>
    <t>19.18</t>
  </si>
  <si>
    <t>1444.74</t>
  </si>
  <si>
    <t>53.46</t>
  </si>
  <si>
    <t>530.94</t>
  </si>
  <si>
    <t>554.53</t>
  </si>
  <si>
    <t>1228.27</t>
  </si>
  <si>
    <t>402.87</t>
  </si>
  <si>
    <t>2986.54</t>
  </si>
  <si>
    <t>209.06</t>
  </si>
  <si>
    <t>7328.00</t>
  </si>
  <si>
    <t>DN400</t>
  </si>
  <si>
    <t>73.28</t>
  </si>
  <si>
    <t>1552.03</t>
  </si>
  <si>
    <t>1364.00</t>
  </si>
  <si>
    <t>13.99</t>
  </si>
  <si>
    <t>55.96</t>
  </si>
  <si>
    <t>27.26</t>
  </si>
  <si>
    <t>101.13</t>
  </si>
  <si>
    <t>30.94</t>
  </si>
  <si>
    <t>12075.63</t>
  </si>
  <si>
    <t>1086.81</t>
  </si>
  <si>
    <t>13162.44</t>
  </si>
  <si>
    <t>预制混凝土管安装，公称直径800mm 工程</t>
  </si>
  <si>
    <t>27</t>
  </si>
  <si>
    <t>定额编号:10307。
检查及清理管材、管道和管件安装、上胶圈、对口、调直；管道试压等。</t>
  </si>
  <si>
    <t>4704.51</t>
  </si>
  <si>
    <t>2591.54</t>
  </si>
  <si>
    <t>749</t>
  </si>
  <si>
    <t>11.55</t>
  </si>
  <si>
    <t>10.50</t>
  </si>
  <si>
    <t>808.98</t>
  </si>
  <si>
    <t>起重量8t</t>
  </si>
  <si>
    <t>9.24</t>
  </si>
  <si>
    <t>64.39</t>
  </si>
  <si>
    <t>594.96</t>
  </si>
  <si>
    <t>7.14</t>
  </si>
  <si>
    <t>145.58</t>
  </si>
  <si>
    <t>749.06</t>
  </si>
  <si>
    <t>59.92</t>
  </si>
  <si>
    <t>3412.07</t>
  </si>
  <si>
    <t>126.25</t>
  </si>
  <si>
    <t>1166.19</t>
  </si>
  <si>
    <t>1218.02</t>
  </si>
  <si>
    <t>2715.65</t>
  </si>
  <si>
    <t>890.73</t>
  </si>
  <si>
    <t>6813.26</t>
  </si>
  <si>
    <t>476.93</t>
  </si>
  <si>
    <t>24138.00</t>
  </si>
  <si>
    <t>DN800</t>
  </si>
  <si>
    <t>241.38</t>
  </si>
  <si>
    <t>3381.11</t>
  </si>
  <si>
    <t>2996.00</t>
  </si>
  <si>
    <t>35.868</t>
  </si>
  <si>
    <t>143.47</t>
  </si>
  <si>
    <t>71.148</t>
  </si>
  <si>
    <t>182.14</t>
  </si>
  <si>
    <t>59.50</t>
  </si>
  <si>
    <t>34809.30</t>
  </si>
  <si>
    <t>3132.84</t>
  </si>
  <si>
    <t>37942.14</t>
  </si>
  <si>
    <t>预制混凝土管安装，公称直径1500mm 工程</t>
  </si>
  <si>
    <t>28</t>
  </si>
  <si>
    <t>定额编号:10312。
检查及清理管材、管道和管件安装、上胶圈、对口、调直；管道试压等。</t>
  </si>
  <si>
    <t>12999.49</t>
  </si>
  <si>
    <t>6421.76</t>
  </si>
  <si>
    <t>1856</t>
  </si>
  <si>
    <t>23.10</t>
  </si>
  <si>
    <t>21.00</t>
  </si>
  <si>
    <t>2.10</t>
  </si>
  <si>
    <t>3304.13</t>
  </si>
  <si>
    <t>起重量30t</t>
  </si>
  <si>
    <t>170.52</t>
  </si>
  <si>
    <t>2728.32</t>
  </si>
  <si>
    <t>15.54</t>
  </si>
  <si>
    <t>316.86</t>
  </si>
  <si>
    <t>14.20</t>
  </si>
  <si>
    <t>3059.38</t>
  </si>
  <si>
    <t>244.75</t>
  </si>
  <si>
    <t>9748.99</t>
  </si>
  <si>
    <t>360.71</t>
  </si>
  <si>
    <t>2889.79</t>
  </si>
  <si>
    <t>3018.23</t>
  </si>
  <si>
    <t>6650.58</t>
  </si>
  <si>
    <t>2181.39</t>
  </si>
  <si>
    <t>18199.11</t>
  </si>
  <si>
    <t>1273.94</t>
  </si>
  <si>
    <t>60000.00</t>
  </si>
  <si>
    <t>DN1500</t>
  </si>
  <si>
    <t>600.00</t>
  </si>
  <si>
    <t>8409.64</t>
  </si>
  <si>
    <t>7424.00</t>
  </si>
  <si>
    <t>66.132</t>
  </si>
  <si>
    <t>264.53</t>
  </si>
  <si>
    <t>235.2</t>
  </si>
  <si>
    <t>602.11</t>
  </si>
  <si>
    <t>119.00</t>
  </si>
  <si>
    <t>87882.69</t>
  </si>
  <si>
    <t>7909.44</t>
  </si>
  <si>
    <t>95792.13</t>
  </si>
  <si>
    <t>C20水泥混凝土路面（厚20cm） 工程</t>
  </si>
  <si>
    <t>31</t>
  </si>
  <si>
    <t>定额单位：1000m²</t>
  </si>
  <si>
    <t>定额编号:11132+11133*5。
包括模板制安、混凝土配料、拌和、运输、浇筑、振捣、养护等。</t>
  </si>
  <si>
    <t>38197.55</t>
  </si>
  <si>
    <t>8228.57</t>
  </si>
  <si>
    <t>1914.7</t>
  </si>
  <si>
    <t>6624.86</t>
  </si>
  <si>
    <t>463.5</t>
  </si>
  <si>
    <t>1603.71</t>
  </si>
  <si>
    <t>23925.70</t>
  </si>
  <si>
    <t>184.00</t>
  </si>
  <si>
    <t>17510.85</t>
  </si>
  <si>
    <t>17694.85</t>
  </si>
  <si>
    <t>353.90</t>
  </si>
  <si>
    <t>40.00</t>
  </si>
  <si>
    <t>5836.95</t>
  </si>
  <si>
    <t>3050.84</t>
  </si>
  <si>
    <t>494.40</t>
  </si>
  <si>
    <t>1688.00</t>
  </si>
  <si>
    <t>2182.40</t>
  </si>
  <si>
    <t>109.12</t>
  </si>
  <si>
    <t>185.40</t>
  </si>
  <si>
    <t>573.92</t>
  </si>
  <si>
    <t>35205.11</t>
  </si>
  <si>
    <t>1232.18</t>
  </si>
  <si>
    <t>1760.26</t>
  </si>
  <si>
    <t>1833.48</t>
  </si>
  <si>
    <t>8527.68</t>
  </si>
  <si>
    <t>2797.08</t>
  </si>
  <si>
    <t>42828.11</t>
  </si>
  <si>
    <t>2997.97</t>
  </si>
  <si>
    <t>57134.15</t>
  </si>
  <si>
    <t>2378.2</t>
  </si>
  <si>
    <t>9512.80</t>
  </si>
  <si>
    <t>86.45</t>
  </si>
  <si>
    <t>345.80</t>
  </si>
  <si>
    <t>58.568</t>
  </si>
  <si>
    <t>12080.24</t>
  </si>
  <si>
    <t>175.154</t>
  </si>
  <si>
    <t>17942.78</t>
  </si>
  <si>
    <t>341.7</t>
  </si>
  <si>
    <t>874.75</t>
  </si>
  <si>
    <t>98.12</t>
  </si>
  <si>
    <t>114.444</t>
  </si>
  <si>
    <t>16279.66</t>
  </si>
  <si>
    <t>102960.23</t>
  </si>
  <si>
    <t>9266.42</t>
  </si>
  <si>
    <t>112226.65</t>
  </si>
  <si>
    <t>挖掘机挖装渠道，III类土 工程</t>
  </si>
  <si>
    <t>33</t>
  </si>
  <si>
    <t>定额编号:01261。
机械开挖、装汽车运土，人工配合挖保护层，胶轮车倒运土50m，修边、修底等。</t>
  </si>
  <si>
    <t>783.56</t>
  </si>
  <si>
    <t>121.10</t>
  </si>
  <si>
    <t>35</t>
  </si>
  <si>
    <t>21.23</t>
  </si>
  <si>
    <t>707.66</t>
  </si>
  <si>
    <t>586.56</t>
  </si>
  <si>
    <t>7.68</t>
  </si>
  <si>
    <t>728.89</t>
  </si>
  <si>
    <t>25.51</t>
  </si>
  <si>
    <t>28.99</t>
  </si>
  <si>
    <t>163.83</t>
  </si>
  <si>
    <t>53.74</t>
  </si>
  <si>
    <t>866.29</t>
  </si>
  <si>
    <t>60.64</t>
  </si>
  <si>
    <t>408.02</t>
  </si>
  <si>
    <t>140.00</t>
  </si>
  <si>
    <t>1334.95</t>
  </si>
  <si>
    <t>120.15</t>
  </si>
  <si>
    <t>1455.10</t>
  </si>
  <si>
    <t>0.5m³抓斗式挖泥船，中粗砂，中密 工程</t>
  </si>
  <si>
    <t>34</t>
  </si>
  <si>
    <t>定额单位：10000m³</t>
  </si>
  <si>
    <t>定额编号:10243。
包括开挖、装驳、运、卸、靠离驳、移船、移锚及辅助工作。</t>
  </si>
  <si>
    <t>102819.12</t>
  </si>
  <si>
    <t>2223.05</t>
  </si>
  <si>
    <t>642.5</t>
  </si>
  <si>
    <t>92541.11</t>
  </si>
  <si>
    <t>链斗式挖泥船</t>
  </si>
  <si>
    <t>生产率40m³/h 挖砂</t>
  </si>
  <si>
    <t>342.94</t>
  </si>
  <si>
    <t>125.18</t>
  </si>
  <si>
    <t>42929.23</t>
  </si>
  <si>
    <t>拖轮</t>
  </si>
  <si>
    <t>功率75kW</t>
  </si>
  <si>
    <t>73.79</t>
  </si>
  <si>
    <t>25305.54</t>
  </si>
  <si>
    <t>机艇</t>
  </si>
  <si>
    <t>功率30kW</t>
  </si>
  <si>
    <t>102.88</t>
  </si>
  <si>
    <t>39.19</t>
  </si>
  <si>
    <t>4031.87</t>
  </si>
  <si>
    <t>满底泥驳</t>
  </si>
  <si>
    <t>非自航 舱容积40m³</t>
  </si>
  <si>
    <t>685.88</t>
  </si>
  <si>
    <t>25.63</t>
  </si>
  <si>
    <t>17579.10</t>
  </si>
  <si>
    <t>89845.74</t>
  </si>
  <si>
    <t>2695.37</t>
  </si>
  <si>
    <t>94764.16</t>
  </si>
  <si>
    <t>3316.75</t>
  </si>
  <si>
    <t>4738.21</t>
  </si>
  <si>
    <t>4.6%</t>
  </si>
  <si>
    <t>4729.68</t>
  </si>
  <si>
    <t>27034.25</t>
  </si>
  <si>
    <t>8867.23</t>
  </si>
  <si>
    <t>116416.03</t>
  </si>
  <si>
    <t>8149.12</t>
  </si>
  <si>
    <t>58065.32</t>
  </si>
  <si>
    <t>2570.00</t>
  </si>
  <si>
    <t>7170.87</t>
  </si>
  <si>
    <t>28683.48</t>
  </si>
  <si>
    <t>10473.376</t>
  </si>
  <si>
    <t>26811.84</t>
  </si>
  <si>
    <t>182630.47</t>
  </si>
  <si>
    <t>16436.74</t>
  </si>
  <si>
    <t>199067.21</t>
  </si>
  <si>
    <t>1m³挖掘机挖装淤泥、流砂，自卸汽车运2km 工程</t>
  </si>
  <si>
    <t>定额编号:01317。
挖装、运输、卸除、空回。</t>
  </si>
  <si>
    <t>1169.49</t>
  </si>
  <si>
    <t>31.83</t>
  </si>
  <si>
    <t>9.2</t>
  </si>
  <si>
    <t>98.90</t>
  </si>
  <si>
    <t>988.99</t>
  </si>
  <si>
    <t>957.16</t>
  </si>
  <si>
    <t>197.56</t>
  </si>
  <si>
    <t>11.25</t>
  </si>
  <si>
    <t>759.60</t>
  </si>
  <si>
    <t>1087.89</t>
  </si>
  <si>
    <t>38.08</t>
  </si>
  <si>
    <t>43.52</t>
  </si>
  <si>
    <t>43.27</t>
  </si>
  <si>
    <t>98.87</t>
  </si>
  <si>
    <t>32.43</t>
  </si>
  <si>
    <t>1245.19</t>
  </si>
  <si>
    <t>87.16</t>
  </si>
  <si>
    <t>475.20</t>
  </si>
  <si>
    <t>36.80</t>
  </si>
  <si>
    <t>19.377</t>
  </si>
  <si>
    <t>77.51</t>
  </si>
  <si>
    <t>140.974</t>
  </si>
  <si>
    <t>360.89</t>
  </si>
  <si>
    <t>1807.55</t>
  </si>
  <si>
    <t>162.68</t>
  </si>
  <si>
    <t>1970.23</t>
  </si>
  <si>
    <t>1m³挖掘机挖装渠道(Ⅳ)土方，自卸汽车运1km 工程</t>
  </si>
  <si>
    <t>36</t>
  </si>
  <si>
    <t>墙混凝土，墙厚90cm 工程</t>
  </si>
  <si>
    <t>37</t>
  </si>
  <si>
    <t>定额编号:04074*0.2+04077*0.8+04264*1.03+04280*1.03。
施工准备、仓面冲（凿）毛、冲洗、清仓、验收、浇筑、养护等。
场内配运水泥、骨料、投料、加水、加外加剂、搅拌、出料、清洗。
装、运、卸、清洗。</t>
  </si>
  <si>
    <t>16541.97</t>
  </si>
  <si>
    <t>2782.43</t>
  </si>
  <si>
    <t>95.8</t>
  </si>
  <si>
    <t>331.47</t>
  </si>
  <si>
    <t>359.2</t>
  </si>
  <si>
    <t>1242.83</t>
  </si>
  <si>
    <t>1695.34</t>
  </si>
  <si>
    <t>1.824</t>
  </si>
  <si>
    <t>143.60</t>
  </si>
  <si>
    <t>7.29</t>
  </si>
  <si>
    <t>15.09</t>
  </si>
  <si>
    <t>232.68</t>
  </si>
  <si>
    <t>30.25</t>
  </si>
  <si>
    <t>5.464</t>
  </si>
  <si>
    <t>430.18</t>
  </si>
  <si>
    <t>53.65</t>
  </si>
  <si>
    <t>779.78</t>
  </si>
  <si>
    <t>101.37</t>
  </si>
  <si>
    <t>15106.82</t>
  </si>
  <si>
    <t>528.74</t>
  </si>
  <si>
    <t>906.41</t>
  </si>
  <si>
    <t>612.05</t>
  </si>
  <si>
    <t>2926.34</t>
  </si>
  <si>
    <t>959.84</t>
  </si>
  <si>
    <t>18113.86</t>
  </si>
  <si>
    <t>1267.97</t>
  </si>
  <si>
    <t>25686.84</t>
  </si>
  <si>
    <t>804.17</t>
  </si>
  <si>
    <t>3216.68</t>
  </si>
  <si>
    <t>41.593</t>
  </si>
  <si>
    <t>166.37</t>
  </si>
  <si>
    <t>45068.67</t>
  </si>
  <si>
    <t>4056.18</t>
  </si>
  <si>
    <t>49124.85</t>
  </si>
  <si>
    <t>主要工程量汇总表</t>
  </si>
  <si>
    <t>土方明挖(m³)</t>
  </si>
  <si>
    <t>石方明挖(m³)</t>
  </si>
  <si>
    <t>石方洞挖(m³)</t>
  </si>
  <si>
    <t>土石方填筑(m³)</t>
  </si>
  <si>
    <t>混凝土(m³)</t>
  </si>
  <si>
    <t>模板(m²)</t>
  </si>
  <si>
    <t>钢筋(t)</t>
  </si>
  <si>
    <t>帷幕灌浆(m)</t>
  </si>
  <si>
    <t>固结灌浆(m)</t>
  </si>
  <si>
    <t>18709.5</t>
  </si>
  <si>
    <t>5240.8</t>
  </si>
  <si>
    <t>7807.4</t>
  </si>
  <si>
    <t>10450.6</t>
  </si>
  <si>
    <t>394.1</t>
  </si>
  <si>
    <t>工程用量汇总表</t>
  </si>
  <si>
    <t>水泥(t)</t>
  </si>
  <si>
    <t>钢材(t)</t>
  </si>
  <si>
    <t>木材(m³)</t>
  </si>
  <si>
    <t>炸药(t)</t>
  </si>
  <si>
    <t>块石(m³)</t>
  </si>
  <si>
    <t>河砂(m³)</t>
  </si>
  <si>
    <t>粉煤灰(t)</t>
  </si>
  <si>
    <t>汽油(t)</t>
  </si>
  <si>
    <t>柴油(t)</t>
  </si>
  <si>
    <t>1937.7</t>
  </si>
  <si>
    <t>421.687</t>
  </si>
  <si>
    <t>3.762</t>
  </si>
  <si>
    <t>24.509</t>
  </si>
  <si>
    <t>4585.457</t>
  </si>
  <si>
    <t>4102.502</t>
  </si>
  <si>
    <t>9.96</t>
  </si>
  <si>
    <t>25.229</t>
  </si>
  <si>
    <t>383.371</t>
  </si>
  <si>
    <t>49.006</t>
  </si>
  <si>
    <t>1.025</t>
  </si>
  <si>
    <t>4.026</t>
  </si>
  <si>
    <t>936.167</t>
  </si>
  <si>
    <t>901.808</t>
  </si>
  <si>
    <t>1.696</t>
  </si>
  <si>
    <t>2.734</t>
  </si>
  <si>
    <t>0.217</t>
  </si>
  <si>
    <t>0.691</t>
  </si>
  <si>
    <t>0.326</t>
  </si>
  <si>
    <t>332.406</t>
  </si>
  <si>
    <t>829.607</t>
  </si>
  <si>
    <t>0.662</t>
  </si>
  <si>
    <t>1.237</t>
  </si>
  <si>
    <t>2.996</t>
  </si>
  <si>
    <t>50.965</t>
  </si>
  <si>
    <t>0.515</t>
  </si>
  <si>
    <t>72.201</t>
  </si>
  <si>
    <t>0.311</t>
  </si>
  <si>
    <t>0.454</t>
  </si>
  <si>
    <t>0.384</t>
  </si>
  <si>
    <t>0.148</t>
  </si>
  <si>
    <t>1554.329</t>
  </si>
  <si>
    <t>372.681</t>
  </si>
  <si>
    <t>2.737</t>
  </si>
  <si>
    <t>20.483</t>
  </si>
  <si>
    <t>3649.29</t>
  </si>
  <si>
    <t>3200.694</t>
  </si>
  <si>
    <t>8.264</t>
  </si>
  <si>
    <t>22.495</t>
  </si>
  <si>
    <t>0.925</t>
  </si>
  <si>
    <t>2.942</t>
  </si>
  <si>
    <t>5.313</t>
  </si>
  <si>
    <t>0.295</t>
  </si>
  <si>
    <t>841.906</t>
  </si>
  <si>
    <t>2101.199</t>
  </si>
  <si>
    <t>83.615</t>
  </si>
  <si>
    <t>208.683</t>
  </si>
  <si>
    <t>2.687</t>
  </si>
  <si>
    <t>3.303</t>
  </si>
  <si>
    <t>7.779</t>
  </si>
  <si>
    <t>628.808</t>
  </si>
  <si>
    <t>6.352</t>
  </si>
  <si>
    <t>890.812</t>
  </si>
  <si>
    <t>3.833</t>
  </si>
  <si>
    <t>5.596</t>
  </si>
  <si>
    <t>4.737</t>
  </si>
  <si>
    <t>1.128</t>
  </si>
  <si>
    <t>102.33</t>
  </si>
  <si>
    <t>0.582</t>
  </si>
  <si>
    <t>0.928</t>
  </si>
  <si>
    <t>151.41</t>
  </si>
  <si>
    <t>255.39</t>
  </si>
  <si>
    <t>0.702</t>
  </si>
  <si>
    <t>1.287</t>
  </si>
  <si>
    <t>51.165</t>
  </si>
  <si>
    <t>0.291</t>
  </si>
  <si>
    <t>0.464</t>
  </si>
  <si>
    <t>75.705</t>
  </si>
  <si>
    <t>127.695</t>
  </si>
  <si>
    <t>0.351</t>
  </si>
  <si>
    <t>0.668</t>
  </si>
  <si>
    <t>0.054</t>
  </si>
  <si>
    <t>0.173</t>
  </si>
  <si>
    <t>0.038</t>
  </si>
  <si>
    <t>0.233</t>
  </si>
  <si>
    <t>0.619</t>
  </si>
  <si>
    <t>0.055</t>
  </si>
  <si>
    <t>0.175</t>
  </si>
  <si>
    <t>0.033</t>
  </si>
  <si>
    <t>0.146</t>
  </si>
  <si>
    <t>111.739</t>
  </si>
  <si>
    <t>0.151</t>
  </si>
  <si>
    <t>229.647</t>
  </si>
  <si>
    <t>0.197</t>
  </si>
  <si>
    <t>0.369</t>
  </si>
  <si>
    <t>0.095</t>
  </si>
  <si>
    <t>0.069</t>
  </si>
  <si>
    <t>20.65</t>
  </si>
  <si>
    <t>40.25</t>
  </si>
  <si>
    <t>51.682</t>
  </si>
  <si>
    <t>100.919</t>
  </si>
  <si>
    <t>0.005</t>
  </si>
  <si>
    <t>0.01</t>
  </si>
  <si>
    <t>0.007</t>
  </si>
  <si>
    <t>0.028</t>
  </si>
  <si>
    <t>27.046</t>
  </si>
  <si>
    <t>67.499</t>
  </si>
  <si>
    <t>12.361</t>
  </si>
  <si>
    <t>20.979</t>
  </si>
  <si>
    <t>0.182</t>
  </si>
  <si>
    <t>20.419</t>
  </si>
  <si>
    <t>8.706</t>
  </si>
  <si>
    <t>11.713</t>
  </si>
  <si>
    <t>1.682</t>
  </si>
  <si>
    <t>2151.769</t>
  </si>
  <si>
    <t>4.495</t>
  </si>
  <si>
    <t>25.437</t>
  </si>
  <si>
    <t>4736.867</t>
  </si>
  <si>
    <t>4587.539</t>
  </si>
  <si>
    <t>10.859</t>
  </si>
  <si>
    <t>48.986</t>
  </si>
  <si>
    <t>电(kW.h)</t>
  </si>
  <si>
    <t>111013.284</t>
  </si>
  <si>
    <t>16287.99</t>
  </si>
  <si>
    <t>283.248</t>
  </si>
  <si>
    <t>5359.343</t>
  </si>
  <si>
    <t>958.006</t>
  </si>
  <si>
    <t>680.823</t>
  </si>
  <si>
    <t>9006.57</t>
  </si>
  <si>
    <t>94725.294</t>
  </si>
  <si>
    <t>256.284</t>
  </si>
  <si>
    <t>13573.957</t>
  </si>
  <si>
    <t>1443.418</t>
  </si>
  <si>
    <t>2558.449</t>
  </si>
  <si>
    <t>8399.991</t>
  </si>
  <si>
    <t>68493.195</t>
  </si>
  <si>
    <t>2422.552</t>
  </si>
  <si>
    <t>1213.418</t>
  </si>
  <si>
    <t>32.76</t>
  </si>
  <si>
    <t>908.826</t>
  </si>
  <si>
    <t>271.832</t>
  </si>
  <si>
    <t>1209.134</t>
  </si>
  <si>
    <t>28.476</t>
  </si>
  <si>
    <t>939.936</t>
  </si>
  <si>
    <t>59.573</t>
  </si>
  <si>
    <t>99.05</t>
  </si>
  <si>
    <t>328.073</t>
  </si>
  <si>
    <t>0.27</t>
  </si>
  <si>
    <t>13.29</t>
  </si>
  <si>
    <t>7.4</t>
  </si>
  <si>
    <t>19.224</t>
  </si>
  <si>
    <t>201.008</t>
  </si>
  <si>
    <t>71.026</t>
  </si>
  <si>
    <t>141.022</t>
  </si>
  <si>
    <t>114375.772</t>
  </si>
  <si>
    <t>工程量计算表</t>
  </si>
  <si>
    <t>计算式</t>
  </si>
  <si>
    <t>单位</t>
  </si>
  <si>
    <t>主要材料总消耗量统计表</t>
  </si>
  <si>
    <t xml:space="preserve"> 工程名称：广西永福县相思江罗锦老村至黄洞屯河段整治工程初步设计</t>
  </si>
  <si>
    <t>总消耗量</t>
  </si>
  <si>
    <t>合计(元)</t>
  </si>
  <si>
    <t>电</t>
  </si>
  <si>
    <t>kW.h</t>
  </si>
  <si>
    <t>114376.827</t>
  </si>
  <si>
    <t>0.84</t>
  </si>
  <si>
    <t>96076.53</t>
  </si>
  <si>
    <t>15163.304</t>
  </si>
  <si>
    <t>7581.65</t>
  </si>
  <si>
    <t>风</t>
  </si>
  <si>
    <t>285299.134</t>
  </si>
  <si>
    <t>0.15</t>
  </si>
  <si>
    <t>42794.87</t>
  </si>
  <si>
    <t>1650280.51</t>
  </si>
  <si>
    <t>4490.623</t>
  </si>
  <si>
    <t>20522.15</t>
  </si>
  <si>
    <t>水泥 42.5MPa</t>
  </si>
  <si>
    <t>2150.527</t>
  </si>
  <si>
    <t>981199.45</t>
  </si>
  <si>
    <t>6983.052</t>
  </si>
  <si>
    <t>924835.41</t>
  </si>
  <si>
    <t>柴油 0#</t>
  </si>
  <si>
    <t>48976.017</t>
  </si>
  <si>
    <t>272306.65</t>
  </si>
  <si>
    <t>汽油 92#</t>
  </si>
  <si>
    <t>10857.958</t>
  </si>
  <si>
    <t>72856.90</t>
  </si>
  <si>
    <t>11.802</t>
  </si>
  <si>
    <t>13577.49</t>
  </si>
  <si>
    <t>12550.611</t>
  </si>
  <si>
    <t>78817.84</t>
  </si>
  <si>
    <t>14003.74</t>
  </si>
  <si>
    <t>85562.85</t>
  </si>
  <si>
    <t>531476.48</t>
  </si>
  <si>
    <t>12.703</t>
  </si>
  <si>
    <t>16862.34</t>
  </si>
  <si>
    <t>25.11</t>
  </si>
  <si>
    <t>4812.83</t>
  </si>
  <si>
    <t>4588.261</t>
  </si>
  <si>
    <t>790327.96</t>
  </si>
  <si>
    <t>C15纯混凝土 42.5MPa 2级配 水灰比0.65 最大粒径40mm</t>
  </si>
  <si>
    <t>6054.752</t>
  </si>
  <si>
    <t>316.77</t>
  </si>
  <si>
    <t>1917963.79</t>
  </si>
  <si>
    <t>C20纯混凝土 42.5MPa 2级配 水灰比0.6 最大粒径40mm</t>
  </si>
  <si>
    <t>251.238</t>
  </si>
  <si>
    <t>341.41</t>
  </si>
  <si>
    <t>85775.17</t>
  </si>
  <si>
    <t>C25纯混凝土 42.5MPa 2级配 水灰比0.55 最大粒径40mm</t>
  </si>
  <si>
    <t>38.934</t>
  </si>
  <si>
    <t>351.68</t>
  </si>
  <si>
    <t>13692.31</t>
  </si>
  <si>
    <t>C30纯混凝土 42.5MPa 1级配 水灰比0.5 最大粒径20mm</t>
  </si>
  <si>
    <t>1750.932</t>
  </si>
  <si>
    <t>374.48</t>
  </si>
  <si>
    <t>655689.02</t>
  </si>
  <si>
    <t>合计：</t>
  </si>
  <si>
    <t>8263012.20</t>
  </si>
</sst>
</file>

<file path=xl/styles.xml><?xml version="1.0" encoding="utf-8"?>
<styleSheet xmlns="http://schemas.openxmlformats.org/spreadsheetml/2006/main">
  <numFmts count="3">
    <numFmt numFmtId="176" formatCode="##,###"/>
    <numFmt numFmtId="177" formatCode="yyyy-mm-dd"/>
    <numFmt numFmtId="178" formatCode="yyyy-mm-dd hh:mm:ss"/>
  </numFmts>
  <fonts count="7"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0.5"/>
      <name val="宋体"/>
      <family val="0"/>
    </font>
    <font>
      <b/>
      <sz val="14"/>
      <name val="黑体"/>
      <family val="0"/>
    </font>
    <font>
      <u val="single"/>
      <sz val="10.5"/>
      <name val="宋体"/>
      <family val="0"/>
    </font>
    <font>
      <sz val="9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9" fontId="2" fillId="0" borderId="0" xfId="0" applyFont="1" applyBorder="1" applyAlignment="1" applyProtection="1">
      <alignment vertical="center"/>
      <protection/>
    </xf>
    <xf numFmtId="44" fontId="2" fillId="0" borderId="0" xfId="0" applyFont="1" applyBorder="1" applyAlignment="1" applyProtection="1">
      <alignment vertical="center"/>
      <protection/>
    </xf>
    <xf numFmtId="42" fontId="2" fillId="0" borderId="0" xfId="0" applyFont="1" applyBorder="1" applyAlignment="1" applyProtection="1">
      <alignment vertical="center"/>
      <protection/>
    </xf>
    <xf numFmtId="43" fontId="2" fillId="0" borderId="0" xfId="0" applyFont="1" applyBorder="1" applyAlignment="1" applyProtection="1">
      <alignment vertical="center"/>
      <protection/>
    </xf>
    <xf numFmtId="41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 vertical="center" wrapText="1" shrinkToFit="1"/>
      <protection/>
    </xf>
    <xf numFmtId="2" fontId="5" fillId="0" borderId="1" xfId="0" applyFont="1" applyBorder="1" applyAlignment="1" applyProtection="1">
      <alignment horizontal="right" vertical="center" wrapText="1" shrinkToFit="1"/>
      <protection/>
    </xf>
    <xf numFmtId="2" fontId="2" fillId="0" borderId="1" xfId="0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23"/>
  <sheetViews>
    <sheetView tabSelected="1" defaultGridColor="0" colorId="0" workbookViewId="0" topLeftCell="A1">
      <selection activeCell="A1" sqref="A1"/>
    </sheetView>
  </sheetViews>
  <sheetFormatPr defaultColWidth="12.57421875" defaultRowHeight="18.75" customHeight="1"/>
  <cols>
    <col min="1" max="1" width="88.57421875" style="0" customWidth="1"/>
  </cols>
  <sheetData>
    <row r="1" ht="26.25" customHeight="1">
      <c r="A1" s="1" t="s">
        <v>0</v>
      </c>
    </row>
    <row r="2" ht="18.75" customHeight="1">
      <c r="A2" s="2" t="s">
        <v>1</v>
      </c>
    </row>
    <row r="3" ht="18.75" customHeight="1">
      <c r="A3" s="2" t="s">
        <v>2</v>
      </c>
    </row>
    <row r="4" ht="18.75" customHeight="1">
      <c r="A4" s="2" t="s">
        <v>3</v>
      </c>
    </row>
    <row r="5" ht="18.75" customHeight="1">
      <c r="A5" s="2" t="s">
        <v>4</v>
      </c>
    </row>
    <row r="6" ht="18.75" customHeight="1">
      <c r="A6" s="2" t="s">
        <v>5</v>
      </c>
    </row>
    <row r="7" ht="18.75" customHeight="1">
      <c r="A7" s="2" t="s">
        <v>6</v>
      </c>
    </row>
    <row r="8" ht="18.75" customHeight="1">
      <c r="A8" s="2" t="s">
        <v>7</v>
      </c>
    </row>
    <row r="9" ht="18.75" customHeight="1">
      <c r="A9" s="2" t="s">
        <v>8</v>
      </c>
    </row>
    <row r="10" ht="18.75" customHeight="1">
      <c r="A10" s="2" t="s">
        <v>9</v>
      </c>
    </row>
    <row r="11" ht="18.75" customHeight="1">
      <c r="A11" s="2" t="s">
        <v>10</v>
      </c>
    </row>
    <row r="12" ht="18.75" customHeight="1">
      <c r="A12" s="2" t="s">
        <v>11</v>
      </c>
    </row>
    <row r="13" ht="18.75" customHeight="1">
      <c r="A13" s="2" t="s">
        <v>12</v>
      </c>
    </row>
    <row r="14" ht="18.75" customHeight="1">
      <c r="A14" s="2" t="s">
        <v>13</v>
      </c>
    </row>
    <row r="15" ht="18.75" customHeight="1">
      <c r="A15" s="2" t="s">
        <v>14</v>
      </c>
    </row>
    <row r="16" ht="18.75" customHeight="1">
      <c r="A16" s="2" t="s">
        <v>15</v>
      </c>
    </row>
    <row r="17" ht="18.75" customHeight="1">
      <c r="A17" s="2" t="s">
        <v>16</v>
      </c>
    </row>
    <row r="18" ht="18.75" customHeight="1">
      <c r="A18" s="2" t="s">
        <v>17</v>
      </c>
    </row>
    <row r="19" ht="18.75" customHeight="1">
      <c r="A19" s="2" t="s">
        <v>18</v>
      </c>
    </row>
    <row r="20" ht="18.75" customHeight="1">
      <c r="A20" s="2" t="s">
        <v>19</v>
      </c>
    </row>
    <row r="21" ht="18.75" customHeight="1">
      <c r="A21" s="2" t="s">
        <v>20</v>
      </c>
    </row>
    <row r="22" ht="18.75" customHeight="1">
      <c r="A22" s="2" t="s">
        <v>21</v>
      </c>
    </row>
    <row r="23" ht="18.75" customHeight="1">
      <c r="A23" s="2" t="s">
        <v>22</v>
      </c>
    </row>
  </sheetData>
  <printOptions/>
  <pageMargins left="0.9055099999999999" right="0.51181" top="0.70866" bottom="0.70866" header="0.55118" footer="0.3937"/>
  <pageSetup firstPageNumber="1" useFirstPageNumber="1" orientation="portrait" pageOrder="overThenDown" paperSize="9"/>
  <headerFooter alignWithMargins="0">
    <oddFooter>&amp;L&amp;C&amp;P&amp;R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1479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21.140625" style="0" customWidth="1"/>
    <col min="3" max="3" width="10.28125" style="0" customWidth="1"/>
    <col min="4" max="7" width="2.8515625" style="0" customWidth="1"/>
    <col min="8" max="8" width="6.421875" style="0" customWidth="1"/>
    <col min="9" max="9" width="9.28125" style="0" customWidth="1"/>
    <col min="10" max="10" width="10.00390625" style="0" customWidth="1"/>
    <col min="11" max="11" width="10.7109375" style="0" customWidth="1"/>
    <col min="12" max="12" width="11.00390625" style="0" customWidth="1"/>
  </cols>
  <sheetData>
    <row r="1" spans="1:11" ht="7.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6.25" customHeight="1">
      <c r="A2" s="260" t="s">
        <v>684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8.75" customHeight="1">
      <c r="A3" s="261" t="s">
        <v>685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75" customHeight="1">
      <c r="A4" s="262" t="s">
        <v>686</v>
      </c>
      <c r="B4" s="259" t="s">
        <v>31</v>
      </c>
      <c r="C4" s="259"/>
      <c r="D4" s="259"/>
      <c r="E4" s="259"/>
      <c r="F4" s="259"/>
      <c r="G4" s="259"/>
      <c r="H4" s="263" t="s">
        <v>687</v>
      </c>
      <c r="I4" s="263"/>
      <c r="J4" s="263"/>
      <c r="K4" s="263"/>
    </row>
    <row r="5" spans="1:11" ht="27.75" customHeight="1">
      <c r="A5" s="264" t="s">
        <v>688</v>
      </c>
      <c r="B5" s="265" t="s">
        <v>689</v>
      </c>
      <c r="C5" s="265"/>
      <c r="D5" s="265"/>
      <c r="E5" s="265"/>
      <c r="F5" s="265"/>
      <c r="G5" s="265"/>
      <c r="H5" s="265"/>
      <c r="I5" s="265"/>
      <c r="J5" s="265"/>
      <c r="K5" s="265"/>
    </row>
    <row r="6" spans="1:12" ht="18.75" customHeight="1">
      <c r="A6" s="266" t="s">
        <v>28</v>
      </c>
      <c r="B6" s="266" t="s">
        <v>690</v>
      </c>
      <c r="C6" s="266" t="s">
        <v>650</v>
      </c>
      <c r="D6" s="266"/>
      <c r="E6" s="266"/>
      <c r="F6" s="266"/>
      <c r="G6" s="266" t="s">
        <v>651</v>
      </c>
      <c r="H6" s="266"/>
      <c r="I6" s="266" t="s">
        <v>691</v>
      </c>
      <c r="J6" s="266" t="s">
        <v>692</v>
      </c>
      <c r="K6" s="266" t="s">
        <v>693</v>
      </c>
    </row>
    <row r="7" spans="1:12" ht="18.75" customHeight="1">
      <c r="A7" s="266" t="s">
        <v>31</v>
      </c>
      <c r="B7" s="267" t="s">
        <v>694</v>
      </c>
      <c r="C7" s="267"/>
      <c r="D7" s="267"/>
      <c r="E7" s="267"/>
      <c r="F7" s="267"/>
      <c r="G7" s="266" t="s">
        <v>695</v>
      </c>
      <c r="H7" s="266"/>
      <c r="I7" s="268"/>
      <c r="J7" s="268"/>
      <c r="K7" s="380">
        <f>K8+K10+K12+K16+K17</f>
        <v>0</v>
      </c>
    </row>
    <row r="8" spans="1:12" ht="18.75" customHeight="1">
      <c r="A8" s="266" t="s">
        <v>76</v>
      </c>
      <c r="B8" s="267" t="s">
        <v>353</v>
      </c>
      <c r="C8" s="267"/>
      <c r="D8" s="267"/>
      <c r="E8" s="267"/>
      <c r="F8" s="267"/>
      <c r="G8" s="266" t="s">
        <v>695</v>
      </c>
      <c r="H8" s="266"/>
      <c r="I8" s="268"/>
      <c r="J8" s="268"/>
      <c r="K8" s="380">
        <f>SUM(K9:K9)</f>
        <v>0</v>
      </c>
    </row>
    <row r="9" spans="1:12" ht="18.75" customHeight="1">
      <c r="A9" s="266"/>
      <c r="B9" s="267" t="s">
        <v>698</v>
      </c>
      <c r="C9" s="267"/>
      <c r="D9" s="267"/>
      <c r="E9" s="267"/>
      <c r="F9" s="267"/>
      <c r="G9" s="266" t="s">
        <v>699</v>
      </c>
      <c r="H9" s="266"/>
      <c r="I9" s="268">
        <f>ROUND(6,3)</f>
        <v>0</v>
      </c>
      <c r="J9" s="380">
        <v>3.46</v>
      </c>
      <c r="K9" s="380">
        <f>ROUND(I9*J9,2)</f>
        <v>0</v>
      </c>
    </row>
    <row r="10" spans="1:12" ht="18.75" customHeight="1">
      <c r="A10" s="266" t="s">
        <v>152</v>
      </c>
      <c r="B10" s="267" t="s">
        <v>354</v>
      </c>
      <c r="C10" s="267"/>
      <c r="D10" s="267"/>
      <c r="E10" s="267"/>
      <c r="F10" s="267"/>
      <c r="G10" s="266" t="s">
        <v>695</v>
      </c>
      <c r="H10" s="266"/>
      <c r="I10" s="268"/>
      <c r="J10" s="268"/>
      <c r="K10" s="380">
        <f>SUM(K11:K11)</f>
        <v>0</v>
      </c>
    </row>
    <row r="11" spans="1:12" ht="18.75" customHeight="1">
      <c r="A11" s="266"/>
      <c r="B11" s="267" t="s">
        <v>702</v>
      </c>
      <c r="C11" s="267"/>
      <c r="D11" s="267"/>
      <c r="E11" s="267"/>
      <c r="F11" s="267"/>
      <c r="G11" s="266" t="s">
        <v>334</v>
      </c>
      <c r="H11" s="266"/>
      <c r="I11" s="268">
        <f>ROUND(4,3)</f>
        <v>0</v>
      </c>
      <c r="J11" s="380">
        <f>K9+K13+K14+K15</f>
        <v>0</v>
      </c>
      <c r="K11" s="380">
        <f>ROUND(I11*J11/100,2)</f>
        <v>0</v>
      </c>
    </row>
    <row r="12" spans="1:12" ht="18.75" customHeight="1">
      <c r="A12" s="266" t="s">
        <v>704</v>
      </c>
      <c r="B12" s="267" t="s">
        <v>705</v>
      </c>
      <c r="C12" s="267"/>
      <c r="D12" s="267"/>
      <c r="E12" s="267"/>
      <c r="F12" s="267"/>
      <c r="G12" s="266" t="s">
        <v>695</v>
      </c>
      <c r="H12" s="266"/>
      <c r="I12" s="268"/>
      <c r="J12" s="268"/>
      <c r="K12" s="380">
        <f>SUM(K13:K15)</f>
        <v>0</v>
      </c>
    </row>
    <row r="13" spans="1:12" ht="18.75" customHeight="1">
      <c r="A13" s="266"/>
      <c r="B13" s="267" t="s">
        <v>707</v>
      </c>
      <c r="C13" s="267" t="s">
        <v>708</v>
      </c>
      <c r="D13" s="267"/>
      <c r="E13" s="267"/>
      <c r="F13" s="267"/>
      <c r="G13" s="266" t="s">
        <v>709</v>
      </c>
      <c r="H13" s="266"/>
      <c r="I13" s="268">
        <f>ROUND(1,3)</f>
        <v>0</v>
      </c>
      <c r="J13" s="380">
        <v>112.25</v>
      </c>
      <c r="K13" s="380">
        <f>ROUND(I13*J13,2)</f>
        <v>0</v>
      </c>
    </row>
    <row r="14" spans="1:12" ht="18.75" customHeight="1">
      <c r="A14" s="266"/>
      <c r="B14" s="267" t="s">
        <v>711</v>
      </c>
      <c r="C14" s="267" t="s">
        <v>712</v>
      </c>
      <c r="D14" s="267"/>
      <c r="E14" s="267"/>
      <c r="F14" s="267"/>
      <c r="G14" s="266" t="s">
        <v>709</v>
      </c>
      <c r="H14" s="266"/>
      <c r="I14" s="268">
        <f>ROUND(0.5,3)</f>
        <v>0</v>
      </c>
      <c r="J14" s="380">
        <v>55.49</v>
      </c>
      <c r="K14" s="380">
        <f>ROUND(I14*J14,2)</f>
        <v>0</v>
      </c>
    </row>
    <row r="15" spans="1:12" ht="18.75" customHeight="1">
      <c r="A15" s="266"/>
      <c r="B15" s="267" t="s">
        <v>716</v>
      </c>
      <c r="C15" s="267" t="s">
        <v>717</v>
      </c>
      <c r="D15" s="267"/>
      <c r="E15" s="267"/>
      <c r="F15" s="267"/>
      <c r="G15" s="266" t="s">
        <v>709</v>
      </c>
      <c r="H15" s="266"/>
      <c r="I15" s="268">
        <f>ROUND(6.5,3)</f>
        <v>0</v>
      </c>
      <c r="J15" s="380">
        <v>67.52</v>
      </c>
      <c r="K15" s="380">
        <f>ROUND(I15*J15,2)</f>
        <v>0</v>
      </c>
    </row>
    <row r="16" spans="1:12" ht="18.75" customHeight="1">
      <c r="A16" s="266" t="s">
        <v>721</v>
      </c>
      <c r="B16" s="267" t="s">
        <v>722</v>
      </c>
      <c r="C16" s="267"/>
      <c r="D16" s="267"/>
      <c r="E16" s="267"/>
      <c r="F16" s="267"/>
      <c r="G16" s="266" t="s">
        <v>695</v>
      </c>
      <c r="H16" s="266"/>
      <c r="I16" s="268">
        <f>3.5&amp;"%"</f>
        <v>0</v>
      </c>
      <c r="J16" s="380">
        <f>K8+K10+K12</f>
        <v>0</v>
      </c>
      <c r="K16" s="380">
        <f>ROUND(I16*J16,2)</f>
        <v>0</v>
      </c>
    </row>
    <row r="17" spans="1:12" ht="18.75" customHeight="1">
      <c r="A17" s="266" t="s">
        <v>348</v>
      </c>
      <c r="B17" s="267" t="s">
        <v>726</v>
      </c>
      <c r="C17" s="267"/>
      <c r="D17" s="267"/>
      <c r="E17" s="267"/>
      <c r="F17" s="267"/>
      <c r="G17" s="266" t="s">
        <v>695</v>
      </c>
      <c r="H17" s="266"/>
      <c r="I17" s="268">
        <f>4&amp;"%"</f>
        <v>0</v>
      </c>
      <c r="J17" s="380">
        <f>K8+K10+K12</f>
        <v>0</v>
      </c>
      <c r="K17" s="380">
        <f>ROUND(I17*J17,2)</f>
        <v>0</v>
      </c>
    </row>
    <row r="18" spans="1:12" ht="18.75" customHeight="1">
      <c r="A18" s="266" t="s">
        <v>34</v>
      </c>
      <c r="B18" s="267" t="s">
        <v>729</v>
      </c>
      <c r="C18" s="267"/>
      <c r="D18" s="267"/>
      <c r="E18" s="267"/>
      <c r="F18" s="267"/>
      <c r="G18" s="266" t="s">
        <v>695</v>
      </c>
      <c r="H18" s="266"/>
      <c r="I18" s="268">
        <f>3.7&amp;"%"</f>
        <v>0</v>
      </c>
      <c r="J18" s="380">
        <f>K7</f>
        <v>0</v>
      </c>
      <c r="K18" s="380">
        <f>ROUND(I18*J18,2)</f>
        <v>0</v>
      </c>
    </row>
    <row r="19" spans="1:12" ht="18.75" customHeight="1">
      <c r="A19" s="266" t="s">
        <v>37</v>
      </c>
      <c r="B19" s="267" t="s">
        <v>732</v>
      </c>
      <c r="C19" s="267"/>
      <c r="D19" s="267"/>
      <c r="E19" s="267"/>
      <c r="F19" s="267"/>
      <c r="G19" s="266" t="s">
        <v>695</v>
      </c>
      <c r="H19" s="266"/>
      <c r="I19" s="268">
        <f>32.8&amp;"%"</f>
        <v>0</v>
      </c>
      <c r="J19" s="380">
        <f>K8+ROUND(I13*2.7*3.46,2)+ROUND(I14*2.4*3.46,2)+ROUND(I15*1.3*3.46,2)</f>
        <v>0</v>
      </c>
      <c r="K19" s="380">
        <f>ROUND(I19*J19,2)</f>
        <v>0</v>
      </c>
    </row>
    <row r="20" spans="1:12" ht="18.75" customHeight="1">
      <c r="A20" s="266" t="s">
        <v>40</v>
      </c>
      <c r="B20" s="267" t="s">
        <v>736</v>
      </c>
      <c r="C20" s="267"/>
      <c r="D20" s="267"/>
      <c r="E20" s="267"/>
      <c r="F20" s="267"/>
      <c r="G20" s="266" t="s">
        <v>695</v>
      </c>
      <c r="H20" s="266"/>
      <c r="I20" s="268">
        <f>7&amp;"%"</f>
        <v>0</v>
      </c>
      <c r="J20" s="380">
        <f>K7+K18+K19</f>
        <v>0</v>
      </c>
      <c r="K20" s="380">
        <f>ROUND(I20*J20,2)</f>
        <v>0</v>
      </c>
    </row>
    <row r="21" spans="1:12" ht="18.75" customHeight="1">
      <c r="A21" s="266" t="s">
        <v>43</v>
      </c>
      <c r="B21" s="267" t="s">
        <v>361</v>
      </c>
      <c r="C21" s="267"/>
      <c r="D21" s="267"/>
      <c r="E21" s="267"/>
      <c r="F21" s="267"/>
      <c r="G21" s="266" t="s">
        <v>695</v>
      </c>
      <c r="H21" s="266"/>
      <c r="I21" s="268"/>
      <c r="J21" s="268"/>
      <c r="K21" s="380">
        <f>SUM(K22:K24)</f>
        <v>0</v>
      </c>
    </row>
    <row r="22" spans="1:12" ht="18.75" customHeight="1">
      <c r="A22" s="266"/>
      <c r="B22" s="267" t="s">
        <v>698</v>
      </c>
      <c r="C22" s="267"/>
      <c r="D22" s="267"/>
      <c r="E22" s="267"/>
      <c r="F22" s="267"/>
      <c r="G22" s="266" t="s">
        <v>699</v>
      </c>
      <c r="H22" s="266"/>
      <c r="I22" s="268">
        <f>ROUND(I9,3)</f>
        <v>0</v>
      </c>
      <c r="J22" s="380">
        <v>4</v>
      </c>
      <c r="K22" s="380">
        <f>ROUND(I22*J22,2)</f>
        <v>0</v>
      </c>
    </row>
    <row r="23" spans="1:12" ht="18.75" customHeight="1">
      <c r="A23" s="266"/>
      <c r="B23" s="267" t="s">
        <v>741</v>
      </c>
      <c r="C23" s="267"/>
      <c r="D23" s="267"/>
      <c r="E23" s="267"/>
      <c r="F23" s="267"/>
      <c r="G23" s="266" t="s">
        <v>699</v>
      </c>
      <c r="H23" s="266"/>
      <c r="I23" s="268">
        <f>ROUND(I13*2.7+I14*2.4+I15*1.3,3)</f>
        <v>0</v>
      </c>
      <c r="J23" s="380">
        <v>4</v>
      </c>
      <c r="K23" s="380">
        <f>ROUND(I23*J23,2)</f>
        <v>0</v>
      </c>
    </row>
    <row r="24" spans="1:12" ht="18.75" customHeight="1">
      <c r="A24" s="266"/>
      <c r="B24" s="267" t="s">
        <v>663</v>
      </c>
      <c r="C24" s="267" t="s">
        <v>664</v>
      </c>
      <c r="D24" s="267"/>
      <c r="E24" s="267"/>
      <c r="F24" s="267"/>
      <c r="G24" s="266" t="s">
        <v>656</v>
      </c>
      <c r="H24" s="266"/>
      <c r="I24" s="268">
        <f>ROUND(I13*14.9+I14*8.4+I15*10.2,3)</f>
        <v>0</v>
      </c>
      <c r="J24" s="380">
        <v>2.56</v>
      </c>
      <c r="K24" s="380">
        <f>ROUND(I24*J24,2)</f>
        <v>0</v>
      </c>
    </row>
    <row r="25" spans="1:12" ht="18.75" customHeight="1">
      <c r="A25" s="266" t="s">
        <v>46</v>
      </c>
      <c r="B25" s="267" t="s">
        <v>362</v>
      </c>
      <c r="C25" s="267"/>
      <c r="D25" s="267"/>
      <c r="E25" s="267"/>
      <c r="F25" s="267"/>
      <c r="G25" s="266" t="s">
        <v>695</v>
      </c>
      <c r="H25" s="266"/>
      <c r="I25" s="268">
        <f>0&amp;"%"</f>
        <v>0</v>
      </c>
      <c r="J25" s="380">
        <f>K7+K18+K19+K20+K21</f>
        <v>0</v>
      </c>
      <c r="K25" s="380">
        <f>ROUND(I25*J25,2)</f>
        <v>0</v>
      </c>
    </row>
    <row r="26" spans="1:12" ht="18.75" customHeight="1">
      <c r="A26" s="266" t="s">
        <v>49</v>
      </c>
      <c r="B26" s="267" t="s">
        <v>363</v>
      </c>
      <c r="C26" s="267"/>
      <c r="D26" s="267"/>
      <c r="E26" s="267"/>
      <c r="F26" s="267"/>
      <c r="G26" s="266" t="s">
        <v>695</v>
      </c>
      <c r="H26" s="266"/>
      <c r="I26" s="268">
        <f>9&amp;"%"</f>
        <v>0</v>
      </c>
      <c r="J26" s="380">
        <f>K7+K18+K19+K20+K21+K25</f>
        <v>0</v>
      </c>
      <c r="K26" s="380">
        <f>ROUND(I26*J26,2)</f>
        <v>0</v>
      </c>
    </row>
    <row r="27" spans="1:12" ht="18.75" customHeight="1">
      <c r="A27" s="266"/>
      <c r="B27" s="267" t="s">
        <v>64</v>
      </c>
      <c r="C27" s="267"/>
      <c r="D27" s="267"/>
      <c r="E27" s="267"/>
      <c r="F27" s="267"/>
      <c r="G27" s="266" t="s">
        <v>695</v>
      </c>
      <c r="H27" s="266"/>
      <c r="I27" s="268"/>
      <c r="J27" s="268"/>
      <c r="K27" s="380">
        <f>K7+K18+K19+K20+K21+K25+K26</f>
        <v>0</v>
      </c>
    </row>
    <row r="28" spans="1:12" ht="18.75" customHeight="1">
      <c r="A28" s="266"/>
      <c r="B28" s="267" t="s">
        <v>752</v>
      </c>
      <c r="C28" s="267"/>
      <c r="D28" s="267"/>
      <c r="E28" s="267"/>
      <c r="F28" s="267"/>
      <c r="G28" s="266" t="s">
        <v>695</v>
      </c>
      <c r="H28" s="266"/>
      <c r="I28" s="268"/>
      <c r="J28" s="268"/>
      <c r="K28" s="380">
        <f>ROUND(K27/100,2)</f>
        <v>0</v>
      </c>
    </row>
    <row r="29" spans="1:11" ht="18.75" customHeight="1">
      <c r="A29" s="266"/>
      <c r="B29" s="267"/>
      <c r="C29" s="267"/>
      <c r="D29" s="267"/>
      <c r="E29" s="267"/>
      <c r="F29" s="267"/>
      <c r="G29" s="266"/>
      <c r="H29" s="266"/>
      <c r="I29" s="268"/>
      <c r="J29" s="268"/>
      <c r="K29" s="268"/>
    </row>
    <row r="30" spans="1:11" ht="18.75" customHeight="1">
      <c r="A30" s="266"/>
      <c r="B30" s="267"/>
      <c r="C30" s="267"/>
      <c r="D30" s="267"/>
      <c r="E30" s="267"/>
      <c r="F30" s="267"/>
      <c r="G30" s="266"/>
      <c r="H30" s="266"/>
      <c r="I30" s="268"/>
      <c r="J30" s="268"/>
      <c r="K30" s="268"/>
    </row>
    <row r="31" spans="1:11" ht="18.75" customHeight="1">
      <c r="A31" s="266"/>
      <c r="B31" s="267"/>
      <c r="C31" s="267"/>
      <c r="D31" s="267"/>
      <c r="E31" s="267"/>
      <c r="F31" s="267"/>
      <c r="G31" s="266"/>
      <c r="H31" s="266"/>
      <c r="I31" s="268"/>
      <c r="J31" s="268"/>
      <c r="K31" s="268"/>
    </row>
    <row r="32" spans="1:11" ht="18.75" customHeight="1">
      <c r="A32" s="266"/>
      <c r="B32" s="267"/>
      <c r="C32" s="267"/>
      <c r="D32" s="267"/>
      <c r="E32" s="267"/>
      <c r="F32" s="267"/>
      <c r="G32" s="266"/>
      <c r="H32" s="266"/>
      <c r="I32" s="268"/>
      <c r="J32" s="268"/>
      <c r="K32" s="268"/>
    </row>
    <row r="33" spans="1:11" ht="18.75" customHeight="1">
      <c r="A33" s="266"/>
      <c r="B33" s="267"/>
      <c r="C33" s="267"/>
      <c r="D33" s="267"/>
      <c r="E33" s="267"/>
      <c r="F33" s="267"/>
      <c r="G33" s="266"/>
      <c r="H33" s="266"/>
      <c r="I33" s="268"/>
      <c r="J33" s="268"/>
      <c r="K33" s="268"/>
    </row>
    <row r="34" spans="1:11" ht="18.75" customHeight="1">
      <c r="A34" s="266"/>
      <c r="B34" s="267"/>
      <c r="C34" s="267"/>
      <c r="D34" s="267"/>
      <c r="E34" s="267"/>
      <c r="F34" s="267"/>
      <c r="G34" s="266"/>
      <c r="H34" s="266"/>
      <c r="I34" s="268"/>
      <c r="J34" s="268"/>
      <c r="K34" s="268"/>
    </row>
    <row r="35" spans="1:11" ht="18.75" customHeight="1">
      <c r="A35" s="266"/>
      <c r="B35" s="267"/>
      <c r="C35" s="267"/>
      <c r="D35" s="267"/>
      <c r="E35" s="267"/>
      <c r="F35" s="267"/>
      <c r="G35" s="266"/>
      <c r="H35" s="266"/>
      <c r="I35" s="268"/>
      <c r="J35" s="268"/>
      <c r="K35" s="268"/>
    </row>
    <row r="36" spans="1:11" ht="18.75" customHeight="1">
      <c r="A36" s="266"/>
      <c r="B36" s="267"/>
      <c r="C36" s="267"/>
      <c r="D36" s="267"/>
      <c r="E36" s="267"/>
      <c r="F36" s="267"/>
      <c r="G36" s="266"/>
      <c r="H36" s="266"/>
      <c r="I36" s="268"/>
      <c r="J36" s="268"/>
      <c r="K36" s="268"/>
    </row>
    <row r="37" spans="1:11" ht="18.75" customHeight="1">
      <c r="A37" s="266"/>
      <c r="B37" s="267"/>
      <c r="C37" s="267"/>
      <c r="D37" s="267"/>
      <c r="E37" s="267"/>
      <c r="F37" s="267"/>
      <c r="G37" s="266"/>
      <c r="H37" s="266"/>
      <c r="I37" s="268"/>
      <c r="J37" s="268"/>
      <c r="K37" s="268"/>
    </row>
    <row r="38" spans="1:11" ht="7.5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 ht="26.25" customHeight="1">
      <c r="A39" s="260" t="s">
        <v>684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</row>
    <row r="40" spans="1:11" ht="18.75" customHeight="1">
      <c r="A40" s="261" t="s">
        <v>753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18.75" customHeight="1">
      <c r="A41" s="262" t="s">
        <v>686</v>
      </c>
      <c r="B41" s="259" t="s">
        <v>34</v>
      </c>
      <c r="C41" s="259"/>
      <c r="D41" s="259"/>
      <c r="E41" s="259"/>
      <c r="F41" s="259"/>
      <c r="G41" s="259"/>
      <c r="H41" s="263" t="s">
        <v>754</v>
      </c>
      <c r="I41" s="263"/>
      <c r="J41" s="263"/>
      <c r="K41" s="263"/>
    </row>
    <row r="42" spans="1:11" ht="27.75" customHeight="1">
      <c r="A42" s="264" t="s">
        <v>688</v>
      </c>
      <c r="B42" s="265" t="s">
        <v>755</v>
      </c>
      <c r="C42" s="265"/>
      <c r="D42" s="265"/>
      <c r="E42" s="265"/>
      <c r="F42" s="265"/>
      <c r="G42" s="265"/>
      <c r="H42" s="265"/>
      <c r="I42" s="265"/>
      <c r="J42" s="265"/>
      <c r="K42" s="265"/>
    </row>
    <row r="43" spans="1:12" ht="18.75" customHeight="1">
      <c r="A43" s="266" t="s">
        <v>28</v>
      </c>
      <c r="B43" s="266" t="s">
        <v>690</v>
      </c>
      <c r="C43" s="266" t="s">
        <v>650</v>
      </c>
      <c r="D43" s="266"/>
      <c r="E43" s="266"/>
      <c r="F43" s="266"/>
      <c r="G43" s="266" t="s">
        <v>651</v>
      </c>
      <c r="H43" s="266"/>
      <c r="I43" s="266" t="s">
        <v>691</v>
      </c>
      <c r="J43" s="266" t="s">
        <v>692</v>
      </c>
      <c r="K43" s="266" t="s">
        <v>693</v>
      </c>
    </row>
    <row r="44" spans="1:12" ht="18.75" customHeight="1">
      <c r="A44" s="266" t="s">
        <v>31</v>
      </c>
      <c r="B44" s="267" t="s">
        <v>694</v>
      </c>
      <c r="C44" s="267"/>
      <c r="D44" s="267"/>
      <c r="E44" s="267"/>
      <c r="F44" s="267"/>
      <c r="G44" s="266" t="s">
        <v>695</v>
      </c>
      <c r="H44" s="266"/>
      <c r="I44" s="268"/>
      <c r="J44" s="268"/>
      <c r="K44" s="380">
        <f>K45+K47+K49+K50+K51</f>
        <v>0</v>
      </c>
    </row>
    <row r="45" spans="1:12" ht="18.75" customHeight="1">
      <c r="A45" s="266" t="s">
        <v>76</v>
      </c>
      <c r="B45" s="267" t="s">
        <v>353</v>
      </c>
      <c r="C45" s="267"/>
      <c r="D45" s="267"/>
      <c r="E45" s="267"/>
      <c r="F45" s="267"/>
      <c r="G45" s="266" t="s">
        <v>695</v>
      </c>
      <c r="H45" s="266"/>
      <c r="I45" s="268"/>
      <c r="J45" s="268"/>
      <c r="K45" s="380">
        <f>SUM(K46:K46)</f>
        <v>0</v>
      </c>
    </row>
    <row r="46" spans="1:12" ht="18.75" customHeight="1">
      <c r="A46" s="266"/>
      <c r="B46" s="267" t="s">
        <v>698</v>
      </c>
      <c r="C46" s="267"/>
      <c r="D46" s="267"/>
      <c r="E46" s="267"/>
      <c r="F46" s="267"/>
      <c r="G46" s="266" t="s">
        <v>699</v>
      </c>
      <c r="H46" s="266"/>
      <c r="I46" s="268">
        <f>ROUND(45,3)</f>
        <v>0</v>
      </c>
      <c r="J46" s="380">
        <v>3.46</v>
      </c>
      <c r="K46" s="380">
        <f>ROUND(I46*J46,2)</f>
        <v>0</v>
      </c>
    </row>
    <row r="47" spans="1:12" ht="18.75" customHeight="1">
      <c r="A47" s="266" t="s">
        <v>152</v>
      </c>
      <c r="B47" s="267" t="s">
        <v>354</v>
      </c>
      <c r="C47" s="267"/>
      <c r="D47" s="267"/>
      <c r="E47" s="267"/>
      <c r="F47" s="267"/>
      <c r="G47" s="266" t="s">
        <v>695</v>
      </c>
      <c r="H47" s="266"/>
      <c r="I47" s="268"/>
      <c r="J47" s="268"/>
      <c r="K47" s="380">
        <f>SUM(K48:K48)</f>
        <v>0</v>
      </c>
    </row>
    <row r="48" spans="1:12" ht="18.75" customHeight="1">
      <c r="A48" s="266"/>
      <c r="B48" s="267" t="s">
        <v>702</v>
      </c>
      <c r="C48" s="267"/>
      <c r="D48" s="267"/>
      <c r="E48" s="267"/>
      <c r="F48" s="267"/>
      <c r="G48" s="266" t="s">
        <v>334</v>
      </c>
      <c r="H48" s="266"/>
      <c r="I48" s="268">
        <f>ROUND(8,3)</f>
        <v>0</v>
      </c>
      <c r="J48" s="380">
        <f>K46</f>
        <v>0</v>
      </c>
      <c r="K48" s="380">
        <f>ROUND(I48*J48/100,2)</f>
        <v>0</v>
      </c>
    </row>
    <row r="49" spans="1:12" ht="18.75" customHeight="1">
      <c r="A49" s="266" t="s">
        <v>704</v>
      </c>
      <c r="B49" s="267" t="s">
        <v>705</v>
      </c>
      <c r="C49" s="267"/>
      <c r="D49" s="267"/>
      <c r="E49" s="267"/>
      <c r="F49" s="267"/>
      <c r="G49" s="266" t="s">
        <v>695</v>
      </c>
      <c r="H49" s="266"/>
      <c r="I49" s="268"/>
      <c r="J49" s="268"/>
      <c r="K49" s="380">
        <v>0</v>
      </c>
    </row>
    <row r="50" spans="1:12" ht="18.75" customHeight="1">
      <c r="A50" s="266" t="s">
        <v>721</v>
      </c>
      <c r="B50" s="267" t="s">
        <v>722</v>
      </c>
      <c r="C50" s="267"/>
      <c r="D50" s="267"/>
      <c r="E50" s="267"/>
      <c r="F50" s="267"/>
      <c r="G50" s="266" t="s">
        <v>695</v>
      </c>
      <c r="H50" s="266"/>
      <c r="I50" s="268">
        <f>3.5&amp;"%"</f>
        <v>0</v>
      </c>
      <c r="J50" s="380">
        <f>K45+K47+K49</f>
        <v>0</v>
      </c>
      <c r="K50" s="380">
        <f>ROUND(I50*J50,2)</f>
        <v>0</v>
      </c>
    </row>
    <row r="51" spans="1:12" ht="18.75" customHeight="1">
      <c r="A51" s="266" t="s">
        <v>348</v>
      </c>
      <c r="B51" s="267" t="s">
        <v>726</v>
      </c>
      <c r="C51" s="267"/>
      <c r="D51" s="267"/>
      <c r="E51" s="267"/>
      <c r="F51" s="267"/>
      <c r="G51" s="266" t="s">
        <v>695</v>
      </c>
      <c r="H51" s="266"/>
      <c r="I51" s="268">
        <f>4&amp;"%"</f>
        <v>0</v>
      </c>
      <c r="J51" s="380">
        <f>K45+K47+K49</f>
        <v>0</v>
      </c>
      <c r="K51" s="380">
        <f>ROUND(I51*J51,2)</f>
        <v>0</v>
      </c>
    </row>
    <row r="52" spans="1:12" ht="18.75" customHeight="1">
      <c r="A52" s="266" t="s">
        <v>34</v>
      </c>
      <c r="B52" s="267" t="s">
        <v>729</v>
      </c>
      <c r="C52" s="267"/>
      <c r="D52" s="267"/>
      <c r="E52" s="267"/>
      <c r="F52" s="267"/>
      <c r="G52" s="266" t="s">
        <v>695</v>
      </c>
      <c r="H52" s="266"/>
      <c r="I52" s="268">
        <f>3.7&amp;"%"</f>
        <v>0</v>
      </c>
      <c r="J52" s="380">
        <f>K44</f>
        <v>0</v>
      </c>
      <c r="K52" s="380">
        <f>ROUND(I52*J52,2)</f>
        <v>0</v>
      </c>
    </row>
    <row r="53" spans="1:12" ht="18.75" customHeight="1">
      <c r="A53" s="266" t="s">
        <v>37</v>
      </c>
      <c r="B53" s="267" t="s">
        <v>732</v>
      </c>
      <c r="C53" s="267"/>
      <c r="D53" s="267"/>
      <c r="E53" s="267"/>
      <c r="F53" s="267"/>
      <c r="G53" s="266" t="s">
        <v>695</v>
      </c>
      <c r="H53" s="266"/>
      <c r="I53" s="268">
        <f>32.8&amp;"%"</f>
        <v>0</v>
      </c>
      <c r="J53" s="380">
        <f>K45</f>
        <v>0</v>
      </c>
      <c r="K53" s="380">
        <f>ROUND(I53*J53,2)</f>
        <v>0</v>
      </c>
    </row>
    <row r="54" spans="1:12" ht="18.75" customHeight="1">
      <c r="A54" s="266" t="s">
        <v>40</v>
      </c>
      <c r="B54" s="267" t="s">
        <v>736</v>
      </c>
      <c r="C54" s="267"/>
      <c r="D54" s="267"/>
      <c r="E54" s="267"/>
      <c r="F54" s="267"/>
      <c r="G54" s="266" t="s">
        <v>695</v>
      </c>
      <c r="H54" s="266"/>
      <c r="I54" s="268">
        <f>7&amp;"%"</f>
        <v>0</v>
      </c>
      <c r="J54" s="380">
        <f>K44+K52+K53</f>
        <v>0</v>
      </c>
      <c r="K54" s="380">
        <f>ROUND(I54*J54,2)</f>
        <v>0</v>
      </c>
    </row>
    <row r="55" spans="1:12" ht="18.75" customHeight="1">
      <c r="A55" s="266" t="s">
        <v>43</v>
      </c>
      <c r="B55" s="267" t="s">
        <v>361</v>
      </c>
      <c r="C55" s="267"/>
      <c r="D55" s="267"/>
      <c r="E55" s="267"/>
      <c r="F55" s="267"/>
      <c r="G55" s="266" t="s">
        <v>695</v>
      </c>
      <c r="H55" s="266"/>
      <c r="I55" s="268"/>
      <c r="J55" s="268"/>
      <c r="K55" s="380">
        <f>SUM(K56:K56)</f>
        <v>0</v>
      </c>
    </row>
    <row r="56" spans="1:12" ht="18.75" customHeight="1">
      <c r="A56" s="266"/>
      <c r="B56" s="267" t="s">
        <v>698</v>
      </c>
      <c r="C56" s="267"/>
      <c r="D56" s="267"/>
      <c r="E56" s="267"/>
      <c r="F56" s="267"/>
      <c r="G56" s="266" t="s">
        <v>699</v>
      </c>
      <c r="H56" s="266"/>
      <c r="I56" s="268">
        <f>ROUND(I46,3)</f>
        <v>0</v>
      </c>
      <c r="J56" s="380">
        <v>4</v>
      </c>
      <c r="K56" s="380">
        <f>ROUND(I56*J56,2)</f>
        <v>0</v>
      </c>
    </row>
    <row r="57" spans="1:12" ht="18.75" customHeight="1">
      <c r="A57" s="266" t="s">
        <v>46</v>
      </c>
      <c r="B57" s="267" t="s">
        <v>362</v>
      </c>
      <c r="C57" s="267"/>
      <c r="D57" s="267"/>
      <c r="E57" s="267"/>
      <c r="F57" s="267"/>
      <c r="G57" s="266" t="s">
        <v>695</v>
      </c>
      <c r="H57" s="266"/>
      <c r="I57" s="268">
        <f>0&amp;"%"</f>
        <v>0</v>
      </c>
      <c r="J57" s="380">
        <f>K44+K52+K53+K54+K55</f>
        <v>0</v>
      </c>
      <c r="K57" s="380">
        <f>ROUND(I57*J57,2)</f>
        <v>0</v>
      </c>
    </row>
    <row r="58" spans="1:12" ht="18.75" customHeight="1">
      <c r="A58" s="266" t="s">
        <v>49</v>
      </c>
      <c r="B58" s="267" t="s">
        <v>363</v>
      </c>
      <c r="C58" s="267"/>
      <c r="D58" s="267"/>
      <c r="E58" s="267"/>
      <c r="F58" s="267"/>
      <c r="G58" s="266" t="s">
        <v>695</v>
      </c>
      <c r="H58" s="266"/>
      <c r="I58" s="268">
        <f>9&amp;"%"</f>
        <v>0</v>
      </c>
      <c r="J58" s="380">
        <f>K44+K52+K53+K54+K55+K57</f>
        <v>0</v>
      </c>
      <c r="K58" s="380">
        <f>ROUND(I58*J58,2)</f>
        <v>0</v>
      </c>
    </row>
    <row r="59" spans="1:12" ht="18.75" customHeight="1">
      <c r="A59" s="266"/>
      <c r="B59" s="267" t="s">
        <v>64</v>
      </c>
      <c r="C59" s="267"/>
      <c r="D59" s="267"/>
      <c r="E59" s="267"/>
      <c r="F59" s="267"/>
      <c r="G59" s="266" t="s">
        <v>695</v>
      </c>
      <c r="H59" s="266"/>
      <c r="I59" s="268"/>
      <c r="J59" s="268"/>
      <c r="K59" s="380">
        <f>K44+K52+K53+K54+K55+K57+K58</f>
        <v>0</v>
      </c>
    </row>
    <row r="60" spans="1:12" ht="18.75" customHeight="1">
      <c r="A60" s="266"/>
      <c r="B60" s="267" t="s">
        <v>752</v>
      </c>
      <c r="C60" s="267"/>
      <c r="D60" s="267"/>
      <c r="E60" s="267"/>
      <c r="F60" s="267"/>
      <c r="G60" s="266" t="s">
        <v>695</v>
      </c>
      <c r="H60" s="266"/>
      <c r="I60" s="268"/>
      <c r="J60" s="268"/>
      <c r="K60" s="380">
        <f>ROUND(K59/100,2)</f>
        <v>0</v>
      </c>
    </row>
    <row r="61" spans="1:11" ht="18.75" customHeight="1">
      <c r="A61" s="266"/>
      <c r="B61" s="267"/>
      <c r="C61" s="267"/>
      <c r="D61" s="267"/>
      <c r="E61" s="267"/>
      <c r="F61" s="267"/>
      <c r="G61" s="266"/>
      <c r="H61" s="266"/>
      <c r="I61" s="268"/>
      <c r="J61" s="268"/>
      <c r="K61" s="268"/>
    </row>
    <row r="62" spans="1:11" ht="18.75" customHeight="1">
      <c r="A62" s="266"/>
      <c r="B62" s="267"/>
      <c r="C62" s="267"/>
      <c r="D62" s="267"/>
      <c r="E62" s="267"/>
      <c r="F62" s="267"/>
      <c r="G62" s="266"/>
      <c r="H62" s="266"/>
      <c r="I62" s="268"/>
      <c r="J62" s="268"/>
      <c r="K62" s="268"/>
    </row>
    <row r="63" spans="1:11" ht="18.75" customHeight="1">
      <c r="A63" s="266"/>
      <c r="B63" s="267"/>
      <c r="C63" s="267"/>
      <c r="D63" s="267"/>
      <c r="E63" s="267"/>
      <c r="F63" s="267"/>
      <c r="G63" s="266"/>
      <c r="H63" s="266"/>
      <c r="I63" s="268"/>
      <c r="J63" s="268"/>
      <c r="K63" s="268"/>
    </row>
    <row r="64" spans="1:11" ht="18.75" customHeight="1">
      <c r="A64" s="266"/>
      <c r="B64" s="267"/>
      <c r="C64" s="267"/>
      <c r="D64" s="267"/>
      <c r="E64" s="267"/>
      <c r="F64" s="267"/>
      <c r="G64" s="266"/>
      <c r="H64" s="266"/>
      <c r="I64" s="268"/>
      <c r="J64" s="268"/>
      <c r="K64" s="268"/>
    </row>
    <row r="65" spans="1:11" ht="18.75" customHeight="1">
      <c r="A65" s="266"/>
      <c r="B65" s="267"/>
      <c r="C65" s="267"/>
      <c r="D65" s="267"/>
      <c r="E65" s="267"/>
      <c r="F65" s="267"/>
      <c r="G65" s="266"/>
      <c r="H65" s="266"/>
      <c r="I65" s="268"/>
      <c r="J65" s="268"/>
      <c r="K65" s="268"/>
    </row>
    <row r="66" spans="1:11" ht="18.75" customHeight="1">
      <c r="A66" s="266"/>
      <c r="B66" s="267"/>
      <c r="C66" s="267"/>
      <c r="D66" s="267"/>
      <c r="E66" s="267"/>
      <c r="F66" s="267"/>
      <c r="G66" s="266"/>
      <c r="H66" s="266"/>
      <c r="I66" s="268"/>
      <c r="J66" s="268"/>
      <c r="K66" s="268"/>
    </row>
    <row r="67" spans="1:11" ht="18.75" customHeight="1">
      <c r="A67" s="266"/>
      <c r="B67" s="267"/>
      <c r="C67" s="267"/>
      <c r="D67" s="267"/>
      <c r="E67" s="267"/>
      <c r="F67" s="267"/>
      <c r="G67" s="266"/>
      <c r="H67" s="266"/>
      <c r="I67" s="268"/>
      <c r="J67" s="268"/>
      <c r="K67" s="268"/>
    </row>
    <row r="68" spans="1:11" ht="18.75" customHeight="1">
      <c r="A68" s="266"/>
      <c r="B68" s="267"/>
      <c r="C68" s="267"/>
      <c r="D68" s="267"/>
      <c r="E68" s="267"/>
      <c r="F68" s="267"/>
      <c r="G68" s="266"/>
      <c r="H68" s="266"/>
      <c r="I68" s="268"/>
      <c r="J68" s="268"/>
      <c r="K68" s="268"/>
    </row>
    <row r="69" spans="1:11" ht="18.75" customHeight="1">
      <c r="A69" s="266"/>
      <c r="B69" s="267"/>
      <c r="C69" s="267"/>
      <c r="D69" s="267"/>
      <c r="E69" s="267"/>
      <c r="F69" s="267"/>
      <c r="G69" s="266"/>
      <c r="H69" s="266"/>
      <c r="I69" s="268"/>
      <c r="J69" s="268"/>
      <c r="K69" s="268"/>
    </row>
    <row r="70" spans="1:11" ht="18.75" customHeight="1">
      <c r="A70" s="266"/>
      <c r="B70" s="267"/>
      <c r="C70" s="267"/>
      <c r="D70" s="267"/>
      <c r="E70" s="267"/>
      <c r="F70" s="267"/>
      <c r="G70" s="266"/>
      <c r="H70" s="266"/>
      <c r="I70" s="268"/>
      <c r="J70" s="268"/>
      <c r="K70" s="268"/>
    </row>
    <row r="71" spans="1:11" ht="18.75" customHeight="1">
      <c r="A71" s="266"/>
      <c r="B71" s="267"/>
      <c r="C71" s="267"/>
      <c r="D71" s="267"/>
      <c r="E71" s="267"/>
      <c r="F71" s="267"/>
      <c r="G71" s="266"/>
      <c r="H71" s="266"/>
      <c r="I71" s="268"/>
      <c r="J71" s="268"/>
      <c r="K71" s="268"/>
    </row>
    <row r="72" spans="1:11" ht="18.75" customHeight="1">
      <c r="A72" s="266"/>
      <c r="B72" s="267"/>
      <c r="C72" s="267"/>
      <c r="D72" s="267"/>
      <c r="E72" s="267"/>
      <c r="F72" s="267"/>
      <c r="G72" s="266"/>
      <c r="H72" s="266"/>
      <c r="I72" s="268"/>
      <c r="J72" s="268"/>
      <c r="K72" s="268"/>
    </row>
    <row r="73" spans="1:11" ht="18.75" customHeight="1">
      <c r="A73" s="266"/>
      <c r="B73" s="267"/>
      <c r="C73" s="267"/>
      <c r="D73" s="267"/>
      <c r="E73" s="267"/>
      <c r="F73" s="267"/>
      <c r="G73" s="266"/>
      <c r="H73" s="266"/>
      <c r="I73" s="268"/>
      <c r="J73" s="268"/>
      <c r="K73" s="268"/>
    </row>
    <row r="74" spans="1:11" ht="18.75" customHeight="1">
      <c r="A74" s="266"/>
      <c r="B74" s="267"/>
      <c r="C74" s="267"/>
      <c r="D74" s="267"/>
      <c r="E74" s="267"/>
      <c r="F74" s="267"/>
      <c r="G74" s="266"/>
      <c r="H74" s="266"/>
      <c r="I74" s="268"/>
      <c r="J74" s="268"/>
      <c r="K74" s="268"/>
    </row>
    <row r="75" spans="1:11" ht="7.5" customHeight="1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</row>
    <row r="76" spans="1:11" ht="26.25" customHeight="1">
      <c r="A76" s="260" t="s">
        <v>684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</row>
    <row r="77" spans="1:11" ht="18.75" customHeight="1">
      <c r="A77" s="261" t="s">
        <v>771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</row>
    <row r="78" spans="1:11" ht="18.75" customHeight="1">
      <c r="A78" s="262" t="s">
        <v>686</v>
      </c>
      <c r="B78" s="259" t="s">
        <v>37</v>
      </c>
      <c r="C78" s="259"/>
      <c r="D78" s="259"/>
      <c r="E78" s="259"/>
      <c r="F78" s="259"/>
      <c r="G78" s="259"/>
      <c r="H78" s="263" t="s">
        <v>687</v>
      </c>
      <c r="I78" s="263"/>
      <c r="J78" s="263"/>
      <c r="K78" s="263"/>
    </row>
    <row r="79" spans="1:11" ht="27.75" customHeight="1">
      <c r="A79" s="264" t="s">
        <v>688</v>
      </c>
      <c r="B79" s="265" t="s">
        <v>772</v>
      </c>
      <c r="C79" s="265"/>
      <c r="D79" s="265"/>
      <c r="E79" s="265"/>
      <c r="F79" s="265"/>
      <c r="G79" s="265"/>
      <c r="H79" s="265"/>
      <c r="I79" s="265"/>
      <c r="J79" s="265"/>
      <c r="K79" s="265"/>
    </row>
    <row r="80" spans="1:12" ht="18.75" customHeight="1">
      <c r="A80" s="266" t="s">
        <v>28</v>
      </c>
      <c r="B80" s="266" t="s">
        <v>690</v>
      </c>
      <c r="C80" s="266" t="s">
        <v>650</v>
      </c>
      <c r="D80" s="266"/>
      <c r="E80" s="266"/>
      <c r="F80" s="266"/>
      <c r="G80" s="266" t="s">
        <v>651</v>
      </c>
      <c r="H80" s="266"/>
      <c r="I80" s="266" t="s">
        <v>691</v>
      </c>
      <c r="J80" s="266" t="s">
        <v>692</v>
      </c>
      <c r="K80" s="266" t="s">
        <v>693</v>
      </c>
    </row>
    <row r="81" spans="1:12" ht="18.75" customHeight="1">
      <c r="A81" s="266" t="s">
        <v>31</v>
      </c>
      <c r="B81" s="267" t="s">
        <v>694</v>
      </c>
      <c r="C81" s="267"/>
      <c r="D81" s="267"/>
      <c r="E81" s="267"/>
      <c r="F81" s="267"/>
      <c r="G81" s="266" t="s">
        <v>695</v>
      </c>
      <c r="H81" s="266"/>
      <c r="I81" s="268"/>
      <c r="J81" s="268"/>
      <c r="K81" s="380">
        <f>K82+K84+K86+K88+K89</f>
        <v>0</v>
      </c>
    </row>
    <row r="82" spans="1:12" ht="18.75" customHeight="1">
      <c r="A82" s="266" t="s">
        <v>76</v>
      </c>
      <c r="B82" s="267" t="s">
        <v>353</v>
      </c>
      <c r="C82" s="267"/>
      <c r="D82" s="267"/>
      <c r="E82" s="267"/>
      <c r="F82" s="267"/>
      <c r="G82" s="266" t="s">
        <v>695</v>
      </c>
      <c r="H82" s="266"/>
      <c r="I82" s="268"/>
      <c r="J82" s="268"/>
      <c r="K82" s="380">
        <f>SUM(K83:K83)</f>
        <v>0</v>
      </c>
    </row>
    <row r="83" spans="1:12" ht="18.75" customHeight="1">
      <c r="A83" s="266"/>
      <c r="B83" s="267" t="s">
        <v>698</v>
      </c>
      <c r="C83" s="267"/>
      <c r="D83" s="267"/>
      <c r="E83" s="267"/>
      <c r="F83" s="267"/>
      <c r="G83" s="266" t="s">
        <v>699</v>
      </c>
      <c r="H83" s="266"/>
      <c r="I83" s="268">
        <f>ROUND(4,3)</f>
        <v>0</v>
      </c>
      <c r="J83" s="380">
        <v>3.46</v>
      </c>
      <c r="K83" s="380">
        <f>ROUND(I83*J83,2)</f>
        <v>0</v>
      </c>
    </row>
    <row r="84" spans="1:12" ht="18.75" customHeight="1">
      <c r="A84" s="266" t="s">
        <v>152</v>
      </c>
      <c r="B84" s="267" t="s">
        <v>354</v>
      </c>
      <c r="C84" s="267"/>
      <c r="D84" s="267"/>
      <c r="E84" s="267"/>
      <c r="F84" s="267"/>
      <c r="G84" s="266" t="s">
        <v>695</v>
      </c>
      <c r="H84" s="266"/>
      <c r="I84" s="268"/>
      <c r="J84" s="268"/>
      <c r="K84" s="380">
        <f>SUM(K85:K85)</f>
        <v>0</v>
      </c>
    </row>
    <row r="85" spans="1:12" ht="18.75" customHeight="1">
      <c r="A85" s="266"/>
      <c r="B85" s="267" t="s">
        <v>702</v>
      </c>
      <c r="C85" s="267"/>
      <c r="D85" s="267"/>
      <c r="E85" s="267"/>
      <c r="F85" s="267"/>
      <c r="G85" s="266" t="s">
        <v>334</v>
      </c>
      <c r="H85" s="266"/>
      <c r="I85" s="268">
        <f>ROUND(5,3)</f>
        <v>0</v>
      </c>
      <c r="J85" s="380">
        <f>K83+K87</f>
        <v>0</v>
      </c>
      <c r="K85" s="380">
        <f>ROUND(I85*J85/100,2)</f>
        <v>0</v>
      </c>
    </row>
    <row r="86" spans="1:12" ht="18.75" customHeight="1">
      <c r="A86" s="266" t="s">
        <v>704</v>
      </c>
      <c r="B86" s="267" t="s">
        <v>705</v>
      </c>
      <c r="C86" s="267"/>
      <c r="D86" s="267"/>
      <c r="E86" s="267"/>
      <c r="F86" s="267"/>
      <c r="G86" s="266" t="s">
        <v>695</v>
      </c>
      <c r="H86" s="266"/>
      <c r="I86" s="268"/>
      <c r="J86" s="268"/>
      <c r="K86" s="380">
        <f>SUM(K87:K87)</f>
        <v>0</v>
      </c>
    </row>
    <row r="87" spans="1:12" ht="18.75" customHeight="1">
      <c r="A87" s="266"/>
      <c r="B87" s="267" t="s">
        <v>707</v>
      </c>
      <c r="C87" s="267" t="s">
        <v>708</v>
      </c>
      <c r="D87" s="267"/>
      <c r="E87" s="267"/>
      <c r="F87" s="267"/>
      <c r="G87" s="266" t="s">
        <v>709</v>
      </c>
      <c r="H87" s="266"/>
      <c r="I87" s="268">
        <f>ROUND(1.2,3)</f>
        <v>0</v>
      </c>
      <c r="J87" s="380">
        <v>112.25</v>
      </c>
      <c r="K87" s="380">
        <f>ROUND(I87*J87,2)</f>
        <v>0</v>
      </c>
    </row>
    <row r="88" spans="1:12" ht="18.75" customHeight="1">
      <c r="A88" s="266" t="s">
        <v>721</v>
      </c>
      <c r="B88" s="267" t="s">
        <v>722</v>
      </c>
      <c r="C88" s="267"/>
      <c r="D88" s="267"/>
      <c r="E88" s="267"/>
      <c r="F88" s="267"/>
      <c r="G88" s="266" t="s">
        <v>695</v>
      </c>
      <c r="H88" s="266"/>
      <c r="I88" s="268">
        <f>3.5&amp;"%"</f>
        <v>0</v>
      </c>
      <c r="J88" s="380">
        <f>K82+K84+K86</f>
        <v>0</v>
      </c>
      <c r="K88" s="380">
        <f>ROUND(I88*J88,2)</f>
        <v>0</v>
      </c>
    </row>
    <row r="89" spans="1:12" ht="18.75" customHeight="1">
      <c r="A89" s="266" t="s">
        <v>348</v>
      </c>
      <c r="B89" s="267" t="s">
        <v>726</v>
      </c>
      <c r="C89" s="267"/>
      <c r="D89" s="267"/>
      <c r="E89" s="267"/>
      <c r="F89" s="267"/>
      <c r="G89" s="266" t="s">
        <v>695</v>
      </c>
      <c r="H89" s="266"/>
      <c r="I89" s="268">
        <f>4&amp;"%"</f>
        <v>0</v>
      </c>
      <c r="J89" s="380">
        <f>K82+K84+K86</f>
        <v>0</v>
      </c>
      <c r="K89" s="380">
        <f>ROUND(I89*J89,2)</f>
        <v>0</v>
      </c>
    </row>
    <row r="90" spans="1:12" ht="18.75" customHeight="1">
      <c r="A90" s="266" t="s">
        <v>34</v>
      </c>
      <c r="B90" s="267" t="s">
        <v>729</v>
      </c>
      <c r="C90" s="267"/>
      <c r="D90" s="267"/>
      <c r="E90" s="267"/>
      <c r="F90" s="267"/>
      <c r="G90" s="266" t="s">
        <v>695</v>
      </c>
      <c r="H90" s="266"/>
      <c r="I90" s="268">
        <f>3.7&amp;"%"</f>
        <v>0</v>
      </c>
      <c r="J90" s="380">
        <f>K81</f>
        <v>0</v>
      </c>
      <c r="K90" s="380">
        <f>ROUND(I90*J90,2)</f>
        <v>0</v>
      </c>
    </row>
    <row r="91" spans="1:12" ht="18.75" customHeight="1">
      <c r="A91" s="266" t="s">
        <v>37</v>
      </c>
      <c r="B91" s="267" t="s">
        <v>732</v>
      </c>
      <c r="C91" s="267"/>
      <c r="D91" s="267"/>
      <c r="E91" s="267"/>
      <c r="F91" s="267"/>
      <c r="G91" s="266" t="s">
        <v>695</v>
      </c>
      <c r="H91" s="266"/>
      <c r="I91" s="268">
        <f>32.8&amp;"%"</f>
        <v>0</v>
      </c>
      <c r="J91" s="380">
        <f>K82+ROUND(I87*2.7*3.46,2)</f>
        <v>0</v>
      </c>
      <c r="K91" s="380">
        <f>ROUND(I91*J91,2)</f>
        <v>0</v>
      </c>
    </row>
    <row r="92" spans="1:12" ht="18.75" customHeight="1">
      <c r="A92" s="266" t="s">
        <v>40</v>
      </c>
      <c r="B92" s="267" t="s">
        <v>736</v>
      </c>
      <c r="C92" s="267"/>
      <c r="D92" s="267"/>
      <c r="E92" s="267"/>
      <c r="F92" s="267"/>
      <c r="G92" s="266" t="s">
        <v>695</v>
      </c>
      <c r="H92" s="266"/>
      <c r="I92" s="268">
        <f>7&amp;"%"</f>
        <v>0</v>
      </c>
      <c r="J92" s="380">
        <f>K81+K90+K91</f>
        <v>0</v>
      </c>
      <c r="K92" s="380">
        <f>ROUND(I92*J92,2)</f>
        <v>0</v>
      </c>
    </row>
    <row r="93" spans="1:12" ht="18.75" customHeight="1">
      <c r="A93" s="266" t="s">
        <v>43</v>
      </c>
      <c r="B93" s="267" t="s">
        <v>361</v>
      </c>
      <c r="C93" s="267"/>
      <c r="D93" s="267"/>
      <c r="E93" s="267"/>
      <c r="F93" s="267"/>
      <c r="G93" s="266" t="s">
        <v>695</v>
      </c>
      <c r="H93" s="266"/>
      <c r="I93" s="268"/>
      <c r="J93" s="268"/>
      <c r="K93" s="380">
        <f>SUM(K94:K96)</f>
        <v>0</v>
      </c>
    </row>
    <row r="94" spans="1:12" ht="18.75" customHeight="1">
      <c r="A94" s="266"/>
      <c r="B94" s="267" t="s">
        <v>698</v>
      </c>
      <c r="C94" s="267"/>
      <c r="D94" s="267"/>
      <c r="E94" s="267"/>
      <c r="F94" s="267"/>
      <c r="G94" s="266" t="s">
        <v>699</v>
      </c>
      <c r="H94" s="266"/>
      <c r="I94" s="268">
        <f>ROUND(I83,3)</f>
        <v>0</v>
      </c>
      <c r="J94" s="380">
        <v>4</v>
      </c>
      <c r="K94" s="380">
        <f>ROUND(I94*J94,2)</f>
        <v>0</v>
      </c>
    </row>
    <row r="95" spans="1:12" ht="18.75" customHeight="1">
      <c r="A95" s="266"/>
      <c r="B95" s="267" t="s">
        <v>741</v>
      </c>
      <c r="C95" s="267"/>
      <c r="D95" s="267"/>
      <c r="E95" s="267"/>
      <c r="F95" s="267"/>
      <c r="G95" s="266" t="s">
        <v>699</v>
      </c>
      <c r="H95" s="266"/>
      <c r="I95" s="268">
        <f>ROUND(I87*2.7,3)</f>
        <v>0</v>
      </c>
      <c r="J95" s="380">
        <v>4</v>
      </c>
      <c r="K95" s="380">
        <f>ROUND(I95*J95,2)</f>
        <v>0</v>
      </c>
    </row>
    <row r="96" spans="1:12" ht="18.75" customHeight="1">
      <c r="A96" s="266"/>
      <c r="B96" s="267" t="s">
        <v>663</v>
      </c>
      <c r="C96" s="267" t="s">
        <v>664</v>
      </c>
      <c r="D96" s="267"/>
      <c r="E96" s="267"/>
      <c r="F96" s="267"/>
      <c r="G96" s="266" t="s">
        <v>656</v>
      </c>
      <c r="H96" s="266"/>
      <c r="I96" s="268">
        <f>ROUND(I87*14.9,3)</f>
        <v>0</v>
      </c>
      <c r="J96" s="380">
        <v>2.56</v>
      </c>
      <c r="K96" s="380">
        <f>ROUND(I96*J96,2)</f>
        <v>0</v>
      </c>
    </row>
    <row r="97" spans="1:12" ht="18.75" customHeight="1">
      <c r="A97" s="266" t="s">
        <v>46</v>
      </c>
      <c r="B97" s="267" t="s">
        <v>362</v>
      </c>
      <c r="C97" s="267"/>
      <c r="D97" s="267"/>
      <c r="E97" s="267"/>
      <c r="F97" s="267"/>
      <c r="G97" s="266" t="s">
        <v>695</v>
      </c>
      <c r="H97" s="266"/>
      <c r="I97" s="268">
        <f>0&amp;"%"</f>
        <v>0</v>
      </c>
      <c r="J97" s="380">
        <f>K81+K90+K91+K92+K93</f>
        <v>0</v>
      </c>
      <c r="K97" s="380">
        <f>ROUND(I97*J97,2)</f>
        <v>0</v>
      </c>
    </row>
    <row r="98" spans="1:12" ht="18.75" customHeight="1">
      <c r="A98" s="266" t="s">
        <v>49</v>
      </c>
      <c r="B98" s="267" t="s">
        <v>363</v>
      </c>
      <c r="C98" s="267"/>
      <c r="D98" s="267"/>
      <c r="E98" s="267"/>
      <c r="F98" s="267"/>
      <c r="G98" s="266" t="s">
        <v>695</v>
      </c>
      <c r="H98" s="266"/>
      <c r="I98" s="268">
        <f>9&amp;"%"</f>
        <v>0</v>
      </c>
      <c r="J98" s="380">
        <f>K81+K90+K91+K92+K93+K97</f>
        <v>0</v>
      </c>
      <c r="K98" s="380">
        <f>ROUND(I98*J98,2)</f>
        <v>0</v>
      </c>
    </row>
    <row r="99" spans="1:12" ht="18.75" customHeight="1">
      <c r="A99" s="266"/>
      <c r="B99" s="267" t="s">
        <v>64</v>
      </c>
      <c r="C99" s="267"/>
      <c r="D99" s="267"/>
      <c r="E99" s="267"/>
      <c r="F99" s="267"/>
      <c r="G99" s="266" t="s">
        <v>695</v>
      </c>
      <c r="H99" s="266"/>
      <c r="I99" s="268"/>
      <c r="J99" s="268"/>
      <c r="K99" s="380">
        <f>K81+K90+K91+K92+K93+K97+K98</f>
        <v>0</v>
      </c>
    </row>
    <row r="100" spans="1:12" ht="18.75" customHeight="1">
      <c r="A100" s="266"/>
      <c r="B100" s="267" t="s">
        <v>752</v>
      </c>
      <c r="C100" s="267"/>
      <c r="D100" s="267"/>
      <c r="E100" s="267"/>
      <c r="F100" s="267"/>
      <c r="G100" s="266" t="s">
        <v>695</v>
      </c>
      <c r="H100" s="266"/>
      <c r="I100" s="268"/>
      <c r="J100" s="268"/>
      <c r="K100" s="380">
        <f>ROUND(K99/100,2)</f>
        <v>0</v>
      </c>
    </row>
    <row r="101" spans="1:11" ht="18.75" customHeight="1">
      <c r="A101" s="266"/>
      <c r="B101" s="267"/>
      <c r="C101" s="267"/>
      <c r="D101" s="267"/>
      <c r="E101" s="267"/>
      <c r="F101" s="267"/>
      <c r="G101" s="266"/>
      <c r="H101" s="266"/>
      <c r="I101" s="268"/>
      <c r="J101" s="268"/>
      <c r="K101" s="268"/>
    </row>
    <row r="102" spans="1:11" ht="18.75" customHeight="1">
      <c r="A102" s="266"/>
      <c r="B102" s="267"/>
      <c r="C102" s="267"/>
      <c r="D102" s="267"/>
      <c r="E102" s="267"/>
      <c r="F102" s="267"/>
      <c r="G102" s="266"/>
      <c r="H102" s="266"/>
      <c r="I102" s="268"/>
      <c r="J102" s="268"/>
      <c r="K102" s="268"/>
    </row>
    <row r="103" spans="1:11" ht="18.75" customHeight="1">
      <c r="A103" s="266"/>
      <c r="B103" s="267"/>
      <c r="C103" s="267"/>
      <c r="D103" s="267"/>
      <c r="E103" s="267"/>
      <c r="F103" s="267"/>
      <c r="G103" s="266"/>
      <c r="H103" s="266"/>
      <c r="I103" s="268"/>
      <c r="J103" s="268"/>
      <c r="K103" s="268"/>
    </row>
    <row r="104" spans="1:11" ht="18.75" customHeight="1">
      <c r="A104" s="266"/>
      <c r="B104" s="267"/>
      <c r="C104" s="267"/>
      <c r="D104" s="267"/>
      <c r="E104" s="267"/>
      <c r="F104" s="267"/>
      <c r="G104" s="266"/>
      <c r="H104" s="266"/>
      <c r="I104" s="268"/>
      <c r="J104" s="268"/>
      <c r="K104" s="268"/>
    </row>
    <row r="105" spans="1:11" ht="18.75" customHeight="1">
      <c r="A105" s="266"/>
      <c r="B105" s="267"/>
      <c r="C105" s="267"/>
      <c r="D105" s="267"/>
      <c r="E105" s="267"/>
      <c r="F105" s="267"/>
      <c r="G105" s="266"/>
      <c r="H105" s="266"/>
      <c r="I105" s="268"/>
      <c r="J105" s="268"/>
      <c r="K105" s="268"/>
    </row>
    <row r="106" spans="1:11" ht="18.75" customHeight="1">
      <c r="A106" s="266"/>
      <c r="B106" s="267"/>
      <c r="C106" s="267"/>
      <c r="D106" s="267"/>
      <c r="E106" s="267"/>
      <c r="F106" s="267"/>
      <c r="G106" s="266"/>
      <c r="H106" s="266"/>
      <c r="I106" s="268"/>
      <c r="J106" s="268"/>
      <c r="K106" s="268"/>
    </row>
    <row r="107" spans="1:11" ht="18.75" customHeight="1">
      <c r="A107" s="266"/>
      <c r="B107" s="267"/>
      <c r="C107" s="267"/>
      <c r="D107" s="267"/>
      <c r="E107" s="267"/>
      <c r="F107" s="267"/>
      <c r="G107" s="266"/>
      <c r="H107" s="266"/>
      <c r="I107" s="268"/>
      <c r="J107" s="268"/>
      <c r="K107" s="268"/>
    </row>
    <row r="108" spans="1:11" ht="18.75" customHeight="1">
      <c r="A108" s="266"/>
      <c r="B108" s="267"/>
      <c r="C108" s="267"/>
      <c r="D108" s="267"/>
      <c r="E108" s="267"/>
      <c r="F108" s="267"/>
      <c r="G108" s="266"/>
      <c r="H108" s="266"/>
      <c r="I108" s="268"/>
      <c r="J108" s="268"/>
      <c r="K108" s="268"/>
    </row>
    <row r="109" spans="1:11" ht="18.75" customHeight="1">
      <c r="A109" s="266"/>
      <c r="B109" s="267"/>
      <c r="C109" s="267"/>
      <c r="D109" s="267"/>
      <c r="E109" s="267"/>
      <c r="F109" s="267"/>
      <c r="G109" s="266"/>
      <c r="H109" s="266"/>
      <c r="I109" s="268"/>
      <c r="J109" s="268"/>
      <c r="K109" s="268"/>
    </row>
    <row r="110" spans="1:11" ht="18.75" customHeight="1">
      <c r="A110" s="266"/>
      <c r="B110" s="267"/>
      <c r="C110" s="267"/>
      <c r="D110" s="267"/>
      <c r="E110" s="267"/>
      <c r="F110" s="267"/>
      <c r="G110" s="266"/>
      <c r="H110" s="266"/>
      <c r="I110" s="268"/>
      <c r="J110" s="268"/>
      <c r="K110" s="268"/>
    </row>
    <row r="111" spans="1:11" ht="18.75" customHeight="1">
      <c r="A111" s="266"/>
      <c r="B111" s="267"/>
      <c r="C111" s="267"/>
      <c r="D111" s="267"/>
      <c r="E111" s="267"/>
      <c r="F111" s="267"/>
      <c r="G111" s="266"/>
      <c r="H111" s="266"/>
      <c r="I111" s="268"/>
      <c r="J111" s="268"/>
      <c r="K111" s="268"/>
    </row>
    <row r="112" spans="1:11" ht="7.5" customHeight="1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</row>
    <row r="113" spans="1:11" ht="26.25" customHeight="1">
      <c r="A113" s="260" t="s">
        <v>684</v>
      </c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</row>
    <row r="114" spans="1:11" ht="18.75" customHeight="1">
      <c r="A114" s="261" t="s">
        <v>794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</row>
    <row r="115" spans="1:11" ht="18.75" customHeight="1">
      <c r="A115" s="262" t="s">
        <v>686</v>
      </c>
      <c r="B115" s="259" t="s">
        <v>40</v>
      </c>
      <c r="C115" s="259"/>
      <c r="D115" s="259"/>
      <c r="E115" s="259"/>
      <c r="F115" s="259"/>
      <c r="G115" s="259"/>
      <c r="H115" s="263" t="s">
        <v>687</v>
      </c>
      <c r="I115" s="263"/>
      <c r="J115" s="263"/>
      <c r="K115" s="263"/>
    </row>
    <row r="116" spans="1:11" ht="27.75" customHeight="1">
      <c r="A116" s="264" t="s">
        <v>688</v>
      </c>
      <c r="B116" s="265" t="s">
        <v>795</v>
      </c>
      <c r="C116" s="265"/>
      <c r="D116" s="265"/>
      <c r="E116" s="265"/>
      <c r="F116" s="265"/>
      <c r="G116" s="265"/>
      <c r="H116" s="265"/>
      <c r="I116" s="265"/>
      <c r="J116" s="265"/>
      <c r="K116" s="265"/>
    </row>
    <row r="117" spans="1:12" ht="18.75" customHeight="1">
      <c r="A117" s="266" t="s">
        <v>28</v>
      </c>
      <c r="B117" s="266" t="s">
        <v>690</v>
      </c>
      <c r="C117" s="266" t="s">
        <v>650</v>
      </c>
      <c r="D117" s="266"/>
      <c r="E117" s="266"/>
      <c r="F117" s="266"/>
      <c r="G117" s="266" t="s">
        <v>651</v>
      </c>
      <c r="H117" s="266"/>
      <c r="I117" s="266" t="s">
        <v>691</v>
      </c>
      <c r="J117" s="266" t="s">
        <v>692</v>
      </c>
      <c r="K117" s="266" t="s">
        <v>693</v>
      </c>
    </row>
    <row r="118" spans="1:12" ht="18.75" customHeight="1">
      <c r="A118" s="266" t="s">
        <v>31</v>
      </c>
      <c r="B118" s="267" t="s">
        <v>694</v>
      </c>
      <c r="C118" s="267"/>
      <c r="D118" s="267"/>
      <c r="E118" s="267"/>
      <c r="F118" s="267"/>
      <c r="G118" s="266" t="s">
        <v>695</v>
      </c>
      <c r="H118" s="266"/>
      <c r="I118" s="268"/>
      <c r="J118" s="268"/>
      <c r="K118" s="380">
        <f>K119+K121+K123+K127+K128</f>
        <v>0</v>
      </c>
    </row>
    <row r="119" spans="1:12" ht="18.75" customHeight="1">
      <c r="A119" s="266" t="s">
        <v>76</v>
      </c>
      <c r="B119" s="267" t="s">
        <v>353</v>
      </c>
      <c r="C119" s="267"/>
      <c r="D119" s="267"/>
      <c r="E119" s="267"/>
      <c r="F119" s="267"/>
      <c r="G119" s="266" t="s">
        <v>695</v>
      </c>
      <c r="H119" s="266"/>
      <c r="I119" s="268"/>
      <c r="J119" s="268"/>
      <c r="K119" s="380">
        <f>SUM(K120:K120)</f>
        <v>0</v>
      </c>
    </row>
    <row r="120" spans="1:12" ht="18.75" customHeight="1">
      <c r="A120" s="266"/>
      <c r="B120" s="267" t="s">
        <v>698</v>
      </c>
      <c r="C120" s="267"/>
      <c r="D120" s="267"/>
      <c r="E120" s="267"/>
      <c r="F120" s="267"/>
      <c r="G120" s="266" t="s">
        <v>699</v>
      </c>
      <c r="H120" s="266"/>
      <c r="I120" s="268">
        <f>ROUND(6,3)</f>
        <v>0</v>
      </c>
      <c r="J120" s="380">
        <v>3.46</v>
      </c>
      <c r="K120" s="380">
        <f>ROUND(I120*J120,2)</f>
        <v>0</v>
      </c>
    </row>
    <row r="121" spans="1:12" ht="18.75" customHeight="1">
      <c r="A121" s="266" t="s">
        <v>152</v>
      </c>
      <c r="B121" s="267" t="s">
        <v>354</v>
      </c>
      <c r="C121" s="267"/>
      <c r="D121" s="267"/>
      <c r="E121" s="267"/>
      <c r="F121" s="267"/>
      <c r="G121" s="266" t="s">
        <v>695</v>
      </c>
      <c r="H121" s="266"/>
      <c r="I121" s="268"/>
      <c r="J121" s="268"/>
      <c r="K121" s="380">
        <f>SUM(K122:K122)</f>
        <v>0</v>
      </c>
    </row>
    <row r="122" spans="1:12" ht="18.75" customHeight="1">
      <c r="A122" s="266"/>
      <c r="B122" s="267" t="s">
        <v>702</v>
      </c>
      <c r="C122" s="267"/>
      <c r="D122" s="267"/>
      <c r="E122" s="267"/>
      <c r="F122" s="267"/>
      <c r="G122" s="266" t="s">
        <v>334</v>
      </c>
      <c r="H122" s="266"/>
      <c r="I122" s="268">
        <f>ROUND(4,3)</f>
        <v>0</v>
      </c>
      <c r="J122" s="380">
        <f>K120+K124+K125+K126</f>
        <v>0</v>
      </c>
      <c r="K122" s="380">
        <f>ROUND(I122*J122/100,2)</f>
        <v>0</v>
      </c>
    </row>
    <row r="123" spans="1:12" ht="18.75" customHeight="1">
      <c r="A123" s="266" t="s">
        <v>704</v>
      </c>
      <c r="B123" s="267" t="s">
        <v>705</v>
      </c>
      <c r="C123" s="267"/>
      <c r="D123" s="267"/>
      <c r="E123" s="267"/>
      <c r="F123" s="267"/>
      <c r="G123" s="266" t="s">
        <v>695</v>
      </c>
      <c r="H123" s="266"/>
      <c r="I123" s="268"/>
      <c r="J123" s="268"/>
      <c r="K123" s="380">
        <f>SUM(K124:K126)</f>
        <v>0</v>
      </c>
    </row>
    <row r="124" spans="1:12" ht="18.75" customHeight="1">
      <c r="A124" s="266"/>
      <c r="B124" s="267" t="s">
        <v>707</v>
      </c>
      <c r="C124" s="267" t="s">
        <v>708</v>
      </c>
      <c r="D124" s="267"/>
      <c r="E124" s="267"/>
      <c r="F124" s="267"/>
      <c r="G124" s="266" t="s">
        <v>709</v>
      </c>
      <c r="H124" s="266"/>
      <c r="I124" s="268">
        <f>ROUND(1,3)</f>
        <v>0</v>
      </c>
      <c r="J124" s="380">
        <v>112.25</v>
      </c>
      <c r="K124" s="380">
        <f>ROUND(I124*J124,2)</f>
        <v>0</v>
      </c>
    </row>
    <row r="125" spans="1:12" ht="18.75" customHeight="1">
      <c r="A125" s="266"/>
      <c r="B125" s="267" t="s">
        <v>711</v>
      </c>
      <c r="C125" s="267" t="s">
        <v>712</v>
      </c>
      <c r="D125" s="267"/>
      <c r="E125" s="267"/>
      <c r="F125" s="267"/>
      <c r="G125" s="266" t="s">
        <v>709</v>
      </c>
      <c r="H125" s="266"/>
      <c r="I125" s="268">
        <f>ROUND(0.5,3)</f>
        <v>0</v>
      </c>
      <c r="J125" s="380">
        <v>55.49</v>
      </c>
      <c r="K125" s="380">
        <f>ROUND(I125*J125,2)</f>
        <v>0</v>
      </c>
    </row>
    <row r="126" spans="1:12" ht="18.75" customHeight="1">
      <c r="A126" s="266"/>
      <c r="B126" s="267" t="s">
        <v>716</v>
      </c>
      <c r="C126" s="267" t="s">
        <v>717</v>
      </c>
      <c r="D126" s="267"/>
      <c r="E126" s="267"/>
      <c r="F126" s="267"/>
      <c r="G126" s="266" t="s">
        <v>709</v>
      </c>
      <c r="H126" s="266"/>
      <c r="I126" s="268">
        <f>ROUND(5.25,3)</f>
        <v>0</v>
      </c>
      <c r="J126" s="380">
        <v>67.52</v>
      </c>
      <c r="K126" s="380">
        <f>ROUND(I126*J126,2)</f>
        <v>0</v>
      </c>
    </row>
    <row r="127" spans="1:12" ht="18.75" customHeight="1">
      <c r="A127" s="266" t="s">
        <v>721</v>
      </c>
      <c r="B127" s="267" t="s">
        <v>722</v>
      </c>
      <c r="C127" s="267"/>
      <c r="D127" s="267"/>
      <c r="E127" s="267"/>
      <c r="F127" s="267"/>
      <c r="G127" s="266" t="s">
        <v>695</v>
      </c>
      <c r="H127" s="266"/>
      <c r="I127" s="268">
        <f>3.5&amp;"%"</f>
        <v>0</v>
      </c>
      <c r="J127" s="380">
        <f>K119+K121+K123</f>
        <v>0</v>
      </c>
      <c r="K127" s="380">
        <f>ROUND(I127*J127,2)</f>
        <v>0</v>
      </c>
    </row>
    <row r="128" spans="1:12" ht="18.75" customHeight="1">
      <c r="A128" s="266" t="s">
        <v>348</v>
      </c>
      <c r="B128" s="267" t="s">
        <v>726</v>
      </c>
      <c r="C128" s="267"/>
      <c r="D128" s="267"/>
      <c r="E128" s="267"/>
      <c r="F128" s="267"/>
      <c r="G128" s="266" t="s">
        <v>695</v>
      </c>
      <c r="H128" s="266"/>
      <c r="I128" s="268">
        <f>4&amp;"%"</f>
        <v>0</v>
      </c>
      <c r="J128" s="380">
        <f>K119+K121+K123</f>
        <v>0</v>
      </c>
      <c r="K128" s="380">
        <f>ROUND(I128*J128,2)</f>
        <v>0</v>
      </c>
    </row>
    <row r="129" spans="1:12" ht="18.75" customHeight="1">
      <c r="A129" s="266" t="s">
        <v>34</v>
      </c>
      <c r="B129" s="267" t="s">
        <v>729</v>
      </c>
      <c r="C129" s="267"/>
      <c r="D129" s="267"/>
      <c r="E129" s="267"/>
      <c r="F129" s="267"/>
      <c r="G129" s="266" t="s">
        <v>695</v>
      </c>
      <c r="H129" s="266"/>
      <c r="I129" s="268">
        <f>3.7&amp;"%"</f>
        <v>0</v>
      </c>
      <c r="J129" s="380">
        <f>K118</f>
        <v>0</v>
      </c>
      <c r="K129" s="380">
        <f>ROUND(I129*J129,2)</f>
        <v>0</v>
      </c>
    </row>
    <row r="130" spans="1:12" ht="18.75" customHeight="1">
      <c r="A130" s="266" t="s">
        <v>37</v>
      </c>
      <c r="B130" s="267" t="s">
        <v>732</v>
      </c>
      <c r="C130" s="267"/>
      <c r="D130" s="267"/>
      <c r="E130" s="267"/>
      <c r="F130" s="267"/>
      <c r="G130" s="266" t="s">
        <v>695</v>
      </c>
      <c r="H130" s="266"/>
      <c r="I130" s="268">
        <f>32.8&amp;"%"</f>
        <v>0</v>
      </c>
      <c r="J130" s="380">
        <f>K119+ROUND(I124*2.7*3.46,2)+ROUND(I125*2.4*3.46,2)+ROUND(I126*1.3*3.46,2)</f>
        <v>0</v>
      </c>
      <c r="K130" s="380">
        <f>ROUND(I130*J130,2)</f>
        <v>0</v>
      </c>
    </row>
    <row r="131" spans="1:12" ht="18.75" customHeight="1">
      <c r="A131" s="266" t="s">
        <v>40</v>
      </c>
      <c r="B131" s="267" t="s">
        <v>736</v>
      </c>
      <c r="C131" s="267"/>
      <c r="D131" s="267"/>
      <c r="E131" s="267"/>
      <c r="F131" s="267"/>
      <c r="G131" s="266" t="s">
        <v>695</v>
      </c>
      <c r="H131" s="266"/>
      <c r="I131" s="268">
        <f>7&amp;"%"</f>
        <v>0</v>
      </c>
      <c r="J131" s="380">
        <f>K118+K129+K130</f>
        <v>0</v>
      </c>
      <c r="K131" s="380">
        <f>ROUND(I131*J131,2)</f>
        <v>0</v>
      </c>
    </row>
    <row r="132" spans="1:12" ht="18.75" customHeight="1">
      <c r="A132" s="266" t="s">
        <v>43</v>
      </c>
      <c r="B132" s="267" t="s">
        <v>361</v>
      </c>
      <c r="C132" s="267"/>
      <c r="D132" s="267"/>
      <c r="E132" s="267"/>
      <c r="F132" s="267"/>
      <c r="G132" s="266" t="s">
        <v>695</v>
      </c>
      <c r="H132" s="266"/>
      <c r="I132" s="268"/>
      <c r="J132" s="268"/>
      <c r="K132" s="380">
        <f>SUM(K133:K135)</f>
        <v>0</v>
      </c>
    </row>
    <row r="133" spans="1:12" ht="18.75" customHeight="1">
      <c r="A133" s="266"/>
      <c r="B133" s="267" t="s">
        <v>698</v>
      </c>
      <c r="C133" s="267"/>
      <c r="D133" s="267"/>
      <c r="E133" s="267"/>
      <c r="F133" s="267"/>
      <c r="G133" s="266" t="s">
        <v>699</v>
      </c>
      <c r="H133" s="266"/>
      <c r="I133" s="268">
        <f>ROUND(I120,3)</f>
        <v>0</v>
      </c>
      <c r="J133" s="380">
        <v>4</v>
      </c>
      <c r="K133" s="380">
        <f>ROUND(I133*J133,2)</f>
        <v>0</v>
      </c>
    </row>
    <row r="134" spans="1:12" ht="18.75" customHeight="1">
      <c r="A134" s="266"/>
      <c r="B134" s="267" t="s">
        <v>741</v>
      </c>
      <c r="C134" s="267"/>
      <c r="D134" s="267"/>
      <c r="E134" s="267"/>
      <c r="F134" s="267"/>
      <c r="G134" s="266" t="s">
        <v>699</v>
      </c>
      <c r="H134" s="266"/>
      <c r="I134" s="268">
        <f>ROUND(I124*2.7+I125*2.4+I126*1.3,3)</f>
        <v>0</v>
      </c>
      <c r="J134" s="380">
        <v>4</v>
      </c>
      <c r="K134" s="380">
        <f>ROUND(I134*J134,2)</f>
        <v>0</v>
      </c>
    </row>
    <row r="135" spans="1:12" ht="18.75" customHeight="1">
      <c r="A135" s="266"/>
      <c r="B135" s="267" t="s">
        <v>663</v>
      </c>
      <c r="C135" s="267" t="s">
        <v>664</v>
      </c>
      <c r="D135" s="267"/>
      <c r="E135" s="267"/>
      <c r="F135" s="267"/>
      <c r="G135" s="266" t="s">
        <v>656</v>
      </c>
      <c r="H135" s="266"/>
      <c r="I135" s="268">
        <f>ROUND(I124*14.9+I125*8.4+I126*10.2,3)</f>
        <v>0</v>
      </c>
      <c r="J135" s="380">
        <v>2.56</v>
      </c>
      <c r="K135" s="380">
        <f>ROUND(I135*J135,2)</f>
        <v>0</v>
      </c>
    </row>
    <row r="136" spans="1:12" ht="18.75" customHeight="1">
      <c r="A136" s="266" t="s">
        <v>46</v>
      </c>
      <c r="B136" s="267" t="s">
        <v>362</v>
      </c>
      <c r="C136" s="267"/>
      <c r="D136" s="267"/>
      <c r="E136" s="267"/>
      <c r="F136" s="267"/>
      <c r="G136" s="266" t="s">
        <v>695</v>
      </c>
      <c r="H136" s="266"/>
      <c r="I136" s="268">
        <f>0&amp;"%"</f>
        <v>0</v>
      </c>
      <c r="J136" s="380">
        <f>K118+K129+K130+K131+K132</f>
        <v>0</v>
      </c>
      <c r="K136" s="380">
        <f>ROUND(I136*J136,2)</f>
        <v>0</v>
      </c>
    </row>
    <row r="137" spans="1:12" ht="18.75" customHeight="1">
      <c r="A137" s="266" t="s">
        <v>49</v>
      </c>
      <c r="B137" s="267" t="s">
        <v>363</v>
      </c>
      <c r="C137" s="267"/>
      <c r="D137" s="267"/>
      <c r="E137" s="267"/>
      <c r="F137" s="267"/>
      <c r="G137" s="266" t="s">
        <v>695</v>
      </c>
      <c r="H137" s="266"/>
      <c r="I137" s="268">
        <f>9&amp;"%"</f>
        <v>0</v>
      </c>
      <c r="J137" s="380">
        <f>K118+K129+K130+K131+K132+K136</f>
        <v>0</v>
      </c>
      <c r="K137" s="380">
        <f>ROUND(I137*J137,2)</f>
        <v>0</v>
      </c>
    </row>
    <row r="138" spans="1:12" ht="18.75" customHeight="1">
      <c r="A138" s="266"/>
      <c r="B138" s="267" t="s">
        <v>64</v>
      </c>
      <c r="C138" s="267"/>
      <c r="D138" s="267"/>
      <c r="E138" s="267"/>
      <c r="F138" s="267"/>
      <c r="G138" s="266" t="s">
        <v>695</v>
      </c>
      <c r="H138" s="266"/>
      <c r="I138" s="268"/>
      <c r="J138" s="268"/>
      <c r="K138" s="380">
        <f>K118+K129+K130+K131+K132+K136+K137</f>
        <v>0</v>
      </c>
    </row>
    <row r="139" spans="1:12" ht="18.75" customHeight="1">
      <c r="A139" s="266"/>
      <c r="B139" s="267" t="s">
        <v>752</v>
      </c>
      <c r="C139" s="267"/>
      <c r="D139" s="267"/>
      <c r="E139" s="267"/>
      <c r="F139" s="267"/>
      <c r="G139" s="266" t="s">
        <v>695</v>
      </c>
      <c r="H139" s="266"/>
      <c r="I139" s="268"/>
      <c r="J139" s="268"/>
      <c r="K139" s="380">
        <f>ROUND(K138/100,2)</f>
        <v>0</v>
      </c>
    </row>
    <row r="140" spans="1:11" ht="18.75" customHeight="1">
      <c r="A140" s="266"/>
      <c r="B140" s="267"/>
      <c r="C140" s="267"/>
      <c r="D140" s="267"/>
      <c r="E140" s="267"/>
      <c r="F140" s="267"/>
      <c r="G140" s="266"/>
      <c r="H140" s="266"/>
      <c r="I140" s="268"/>
      <c r="J140" s="268"/>
      <c r="K140" s="268"/>
    </row>
    <row r="141" spans="1:11" ht="18.75" customHeight="1">
      <c r="A141" s="266"/>
      <c r="B141" s="267"/>
      <c r="C141" s="267"/>
      <c r="D141" s="267"/>
      <c r="E141" s="267"/>
      <c r="F141" s="267"/>
      <c r="G141" s="266"/>
      <c r="H141" s="266"/>
      <c r="I141" s="268"/>
      <c r="J141" s="268"/>
      <c r="K141" s="268"/>
    </row>
    <row r="142" spans="1:11" ht="18.75" customHeight="1">
      <c r="A142" s="266"/>
      <c r="B142" s="267"/>
      <c r="C142" s="267"/>
      <c r="D142" s="267"/>
      <c r="E142" s="267"/>
      <c r="F142" s="267"/>
      <c r="G142" s="266"/>
      <c r="H142" s="266"/>
      <c r="I142" s="268"/>
      <c r="J142" s="268"/>
      <c r="K142" s="268"/>
    </row>
    <row r="143" spans="1:11" ht="18.75" customHeight="1">
      <c r="A143" s="266"/>
      <c r="B143" s="267"/>
      <c r="C143" s="267"/>
      <c r="D143" s="267"/>
      <c r="E143" s="267"/>
      <c r="F143" s="267"/>
      <c r="G143" s="266"/>
      <c r="H143" s="266"/>
      <c r="I143" s="268"/>
      <c r="J143" s="268"/>
      <c r="K143" s="268"/>
    </row>
    <row r="144" spans="1:11" ht="18.75" customHeight="1">
      <c r="A144" s="266"/>
      <c r="B144" s="267"/>
      <c r="C144" s="267"/>
      <c r="D144" s="267"/>
      <c r="E144" s="267"/>
      <c r="F144" s="267"/>
      <c r="G144" s="266"/>
      <c r="H144" s="266"/>
      <c r="I144" s="268"/>
      <c r="J144" s="268"/>
      <c r="K144" s="268"/>
    </row>
    <row r="145" spans="1:11" ht="18.75" customHeight="1">
      <c r="A145" s="266"/>
      <c r="B145" s="267"/>
      <c r="C145" s="267"/>
      <c r="D145" s="267"/>
      <c r="E145" s="267"/>
      <c r="F145" s="267"/>
      <c r="G145" s="266"/>
      <c r="H145" s="266"/>
      <c r="I145" s="268"/>
      <c r="J145" s="268"/>
      <c r="K145" s="268"/>
    </row>
    <row r="146" spans="1:11" ht="18.75" customHeight="1">
      <c r="A146" s="266"/>
      <c r="B146" s="267"/>
      <c r="C146" s="267"/>
      <c r="D146" s="267"/>
      <c r="E146" s="267"/>
      <c r="F146" s="267"/>
      <c r="G146" s="266"/>
      <c r="H146" s="266"/>
      <c r="I146" s="268"/>
      <c r="J146" s="268"/>
      <c r="K146" s="268"/>
    </row>
    <row r="147" spans="1:11" ht="18.75" customHeight="1">
      <c r="A147" s="266"/>
      <c r="B147" s="267"/>
      <c r="C147" s="267"/>
      <c r="D147" s="267"/>
      <c r="E147" s="267"/>
      <c r="F147" s="267"/>
      <c r="G147" s="266"/>
      <c r="H147" s="266"/>
      <c r="I147" s="268"/>
      <c r="J147" s="268"/>
      <c r="K147" s="268"/>
    </row>
    <row r="148" spans="1:11" ht="18.75" customHeight="1">
      <c r="A148" s="266"/>
      <c r="B148" s="267"/>
      <c r="C148" s="267"/>
      <c r="D148" s="267"/>
      <c r="E148" s="267"/>
      <c r="F148" s="267"/>
      <c r="G148" s="266"/>
      <c r="H148" s="266"/>
      <c r="I148" s="268"/>
      <c r="J148" s="268"/>
      <c r="K148" s="268"/>
    </row>
    <row r="149" spans="1:11" ht="7.5" customHeight="1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</row>
    <row r="150" spans="1:11" ht="26.25" customHeight="1">
      <c r="A150" s="260" t="s">
        <v>684</v>
      </c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</row>
    <row r="151" spans="1:11" ht="18.75" customHeight="1">
      <c r="A151" s="261" t="s">
        <v>818</v>
      </c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</row>
    <row r="152" spans="1:11" ht="18.75" customHeight="1">
      <c r="A152" s="262" t="s">
        <v>686</v>
      </c>
      <c r="B152" s="259" t="s">
        <v>46</v>
      </c>
      <c r="C152" s="259"/>
      <c r="D152" s="259"/>
      <c r="E152" s="259"/>
      <c r="F152" s="259"/>
      <c r="G152" s="259"/>
      <c r="H152" s="263" t="s">
        <v>819</v>
      </c>
      <c r="I152" s="263"/>
      <c r="J152" s="263"/>
      <c r="K152" s="263"/>
    </row>
    <row r="153" spans="1:11" ht="27.75" customHeight="1">
      <c r="A153" s="264" t="s">
        <v>688</v>
      </c>
      <c r="B153" s="265" t="s">
        <v>820</v>
      </c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1:12" ht="18.75" customHeight="1">
      <c r="A154" s="266" t="s">
        <v>28</v>
      </c>
      <c r="B154" s="266" t="s">
        <v>690</v>
      </c>
      <c r="C154" s="266" t="s">
        <v>650</v>
      </c>
      <c r="D154" s="266"/>
      <c r="E154" s="266"/>
      <c r="F154" s="266"/>
      <c r="G154" s="266" t="s">
        <v>651</v>
      </c>
      <c r="H154" s="266"/>
      <c r="I154" s="266" t="s">
        <v>691</v>
      </c>
      <c r="J154" s="266" t="s">
        <v>692</v>
      </c>
      <c r="K154" s="266" t="s">
        <v>693</v>
      </c>
    </row>
    <row r="155" spans="1:12" ht="18.75" customHeight="1">
      <c r="A155" s="266" t="s">
        <v>31</v>
      </c>
      <c r="B155" s="267" t="s">
        <v>694</v>
      </c>
      <c r="C155" s="267"/>
      <c r="D155" s="267"/>
      <c r="E155" s="267"/>
      <c r="F155" s="267"/>
      <c r="G155" s="266" t="s">
        <v>695</v>
      </c>
      <c r="H155" s="266"/>
      <c r="I155" s="268"/>
      <c r="J155" s="268"/>
      <c r="K155" s="380">
        <f>K156+K158+K161+K162+K163</f>
        <v>0</v>
      </c>
    </row>
    <row r="156" spans="1:12" ht="18.75" customHeight="1">
      <c r="A156" s="266" t="s">
        <v>76</v>
      </c>
      <c r="B156" s="267" t="s">
        <v>353</v>
      </c>
      <c r="C156" s="267"/>
      <c r="D156" s="267"/>
      <c r="E156" s="267"/>
      <c r="F156" s="267"/>
      <c r="G156" s="266" t="s">
        <v>695</v>
      </c>
      <c r="H156" s="266"/>
      <c r="I156" s="268"/>
      <c r="J156" s="268"/>
      <c r="K156" s="380">
        <f>SUM(K157:K157)</f>
        <v>0</v>
      </c>
    </row>
    <row r="157" spans="1:12" ht="18.75" customHeight="1">
      <c r="A157" s="266"/>
      <c r="B157" s="267" t="s">
        <v>698</v>
      </c>
      <c r="C157" s="267"/>
      <c r="D157" s="267"/>
      <c r="E157" s="267"/>
      <c r="F157" s="267"/>
      <c r="G157" s="266" t="s">
        <v>699</v>
      </c>
      <c r="H157" s="266"/>
      <c r="I157" s="268">
        <f>ROUND(208.4,3)</f>
        <v>0</v>
      </c>
      <c r="J157" s="380">
        <v>3.46</v>
      </c>
      <c r="K157" s="380">
        <f>ROUND(I157*J157,2)</f>
        <v>0</v>
      </c>
    </row>
    <row r="158" spans="1:12" ht="18.75" customHeight="1">
      <c r="A158" s="266" t="s">
        <v>152</v>
      </c>
      <c r="B158" s="267" t="s">
        <v>354</v>
      </c>
      <c r="C158" s="267"/>
      <c r="D158" s="267"/>
      <c r="E158" s="267"/>
      <c r="F158" s="267"/>
      <c r="G158" s="266" t="s">
        <v>695</v>
      </c>
      <c r="H158" s="266"/>
      <c r="I158" s="268"/>
      <c r="J158" s="268"/>
      <c r="K158" s="380">
        <f>SUM(K159:K160)</f>
        <v>0</v>
      </c>
    </row>
    <row r="159" spans="1:12" ht="18.75" customHeight="1">
      <c r="A159" s="266"/>
      <c r="B159" s="267" t="s">
        <v>675</v>
      </c>
      <c r="C159" s="267"/>
      <c r="D159" s="267"/>
      <c r="E159" s="267"/>
      <c r="F159" s="267"/>
      <c r="G159" s="266" t="s">
        <v>81</v>
      </c>
      <c r="H159" s="266"/>
      <c r="I159" s="268">
        <f>ROUND(103,3)</f>
        <v>0</v>
      </c>
      <c r="J159" s="380">
        <v>30</v>
      </c>
      <c r="K159" s="380">
        <f>ROUND(I159*J159,2)</f>
        <v>0</v>
      </c>
    </row>
    <row r="160" spans="1:12" ht="18.75" customHeight="1">
      <c r="A160" s="266"/>
      <c r="B160" s="267" t="s">
        <v>828</v>
      </c>
      <c r="C160" s="267"/>
      <c r="D160" s="267"/>
      <c r="E160" s="267"/>
      <c r="F160" s="267"/>
      <c r="G160" s="266" t="s">
        <v>334</v>
      </c>
      <c r="H160" s="266"/>
      <c r="I160" s="268">
        <f>ROUND(1,3)</f>
        <v>0</v>
      </c>
      <c r="J160" s="380">
        <f>K159</f>
        <v>0</v>
      </c>
      <c r="K160" s="380">
        <f>ROUND(I160*J160/100,2)</f>
        <v>0</v>
      </c>
    </row>
    <row r="161" spans="1:12" ht="18.75" customHeight="1">
      <c r="A161" s="266" t="s">
        <v>704</v>
      </c>
      <c r="B161" s="267" t="s">
        <v>705</v>
      </c>
      <c r="C161" s="267"/>
      <c r="D161" s="267"/>
      <c r="E161" s="267"/>
      <c r="F161" s="267"/>
      <c r="G161" s="266" t="s">
        <v>695</v>
      </c>
      <c r="H161" s="266"/>
      <c r="I161" s="268"/>
      <c r="J161" s="268"/>
      <c r="K161" s="380">
        <v>0</v>
      </c>
    </row>
    <row r="162" spans="1:12" ht="18.75" customHeight="1">
      <c r="A162" s="266" t="s">
        <v>721</v>
      </c>
      <c r="B162" s="267" t="s">
        <v>722</v>
      </c>
      <c r="C162" s="267"/>
      <c r="D162" s="267"/>
      <c r="E162" s="267"/>
      <c r="F162" s="267"/>
      <c r="G162" s="266" t="s">
        <v>695</v>
      </c>
      <c r="H162" s="266"/>
      <c r="I162" s="268">
        <f>3.5&amp;"%"</f>
        <v>0</v>
      </c>
      <c r="J162" s="380">
        <f>K156+K158+K161</f>
        <v>0</v>
      </c>
      <c r="K162" s="380">
        <f>ROUND(I162*J162,2)</f>
        <v>0</v>
      </c>
    </row>
    <row r="163" spans="1:12" ht="18.75" customHeight="1">
      <c r="A163" s="266" t="s">
        <v>348</v>
      </c>
      <c r="B163" s="267" t="s">
        <v>726</v>
      </c>
      <c r="C163" s="267"/>
      <c r="D163" s="267"/>
      <c r="E163" s="267"/>
      <c r="F163" s="267"/>
      <c r="G163" s="266" t="s">
        <v>695</v>
      </c>
      <c r="H163" s="266"/>
      <c r="I163" s="268">
        <f>6&amp;"%"</f>
        <v>0</v>
      </c>
      <c r="J163" s="380">
        <f>K156+K158+K161</f>
        <v>0</v>
      </c>
      <c r="K163" s="380">
        <f>ROUND(I163*J163,2)</f>
        <v>0</v>
      </c>
    </row>
    <row r="164" spans="1:12" ht="18.75" customHeight="1">
      <c r="A164" s="266" t="s">
        <v>34</v>
      </c>
      <c r="B164" s="267" t="s">
        <v>729</v>
      </c>
      <c r="C164" s="267"/>
      <c r="D164" s="267"/>
      <c r="E164" s="267"/>
      <c r="F164" s="267"/>
      <c r="G164" s="266" t="s">
        <v>695</v>
      </c>
      <c r="H164" s="266"/>
      <c r="I164" s="268">
        <f>5.8&amp;"%"</f>
        <v>0</v>
      </c>
      <c r="J164" s="380">
        <f>K155</f>
        <v>0</v>
      </c>
      <c r="K164" s="380">
        <f>ROUND(I164*J164,2)</f>
        <v>0</v>
      </c>
    </row>
    <row r="165" spans="1:12" ht="18.75" customHeight="1">
      <c r="A165" s="266" t="s">
        <v>37</v>
      </c>
      <c r="B165" s="267" t="s">
        <v>732</v>
      </c>
      <c r="C165" s="267"/>
      <c r="D165" s="267"/>
      <c r="E165" s="267"/>
      <c r="F165" s="267"/>
      <c r="G165" s="266" t="s">
        <v>695</v>
      </c>
      <c r="H165" s="266"/>
      <c r="I165" s="268">
        <f>32.8&amp;"%"</f>
        <v>0</v>
      </c>
      <c r="J165" s="380">
        <f>K156</f>
        <v>0</v>
      </c>
      <c r="K165" s="380">
        <f>ROUND(I165*J165,2)</f>
        <v>0</v>
      </c>
    </row>
    <row r="166" spans="1:12" ht="18.75" customHeight="1">
      <c r="A166" s="266" t="s">
        <v>40</v>
      </c>
      <c r="B166" s="267" t="s">
        <v>736</v>
      </c>
      <c r="C166" s="267"/>
      <c r="D166" s="267"/>
      <c r="E166" s="267"/>
      <c r="F166" s="267"/>
      <c r="G166" s="266" t="s">
        <v>695</v>
      </c>
      <c r="H166" s="266"/>
      <c r="I166" s="268">
        <f>7&amp;"%"</f>
        <v>0</v>
      </c>
      <c r="J166" s="380">
        <f>K155+K164+K165</f>
        <v>0</v>
      </c>
      <c r="K166" s="380">
        <f>ROUND(I166*J166,2)</f>
        <v>0</v>
      </c>
    </row>
    <row r="167" spans="1:12" ht="18.75" customHeight="1">
      <c r="A167" s="266" t="s">
        <v>43</v>
      </c>
      <c r="B167" s="267" t="s">
        <v>361</v>
      </c>
      <c r="C167" s="267"/>
      <c r="D167" s="267"/>
      <c r="E167" s="267"/>
      <c r="F167" s="267"/>
      <c r="G167" s="266" t="s">
        <v>695</v>
      </c>
      <c r="H167" s="266"/>
      <c r="I167" s="268"/>
      <c r="J167" s="268"/>
      <c r="K167" s="380">
        <f>SUM(K168:K169)</f>
        <v>0</v>
      </c>
    </row>
    <row r="168" spans="1:12" ht="18.75" customHeight="1">
      <c r="A168" s="266"/>
      <c r="B168" s="267" t="s">
        <v>698</v>
      </c>
      <c r="C168" s="267"/>
      <c r="D168" s="267"/>
      <c r="E168" s="267"/>
      <c r="F168" s="267"/>
      <c r="G168" s="266" t="s">
        <v>699</v>
      </c>
      <c r="H168" s="266"/>
      <c r="I168" s="268">
        <f>ROUND(I157,3)</f>
        <v>0</v>
      </c>
      <c r="J168" s="380">
        <v>4</v>
      </c>
      <c r="K168" s="380">
        <f>ROUND(I168*J168,2)</f>
        <v>0</v>
      </c>
    </row>
    <row r="169" spans="1:12" ht="18.75" customHeight="1">
      <c r="A169" s="266"/>
      <c r="B169" s="267" t="s">
        <v>675</v>
      </c>
      <c r="C169" s="267"/>
      <c r="D169" s="267"/>
      <c r="E169" s="267"/>
      <c r="F169" s="267"/>
      <c r="G169" s="266" t="s">
        <v>81</v>
      </c>
      <c r="H169" s="266"/>
      <c r="I169" s="268">
        <f>ROUND(I159,3)</f>
        <v>0</v>
      </c>
      <c r="J169" s="380">
        <v>82.2</v>
      </c>
      <c r="K169" s="380">
        <f>ROUND(I169*J169,2)</f>
        <v>0</v>
      </c>
    </row>
    <row r="170" spans="1:12" ht="18.75" customHeight="1">
      <c r="A170" s="266" t="s">
        <v>46</v>
      </c>
      <c r="B170" s="267" t="s">
        <v>362</v>
      </c>
      <c r="C170" s="267"/>
      <c r="D170" s="267"/>
      <c r="E170" s="267"/>
      <c r="F170" s="267"/>
      <c r="G170" s="266" t="s">
        <v>695</v>
      </c>
      <c r="H170" s="266"/>
      <c r="I170" s="268">
        <f>0&amp;"%"</f>
        <v>0</v>
      </c>
      <c r="J170" s="380">
        <f>K155+K164+K165+K166+K167</f>
        <v>0</v>
      </c>
      <c r="K170" s="380">
        <f>ROUND(I170*J170,2)</f>
        <v>0</v>
      </c>
    </row>
    <row r="171" spans="1:12" ht="18.75" customHeight="1">
      <c r="A171" s="266" t="s">
        <v>49</v>
      </c>
      <c r="B171" s="267" t="s">
        <v>363</v>
      </c>
      <c r="C171" s="267"/>
      <c r="D171" s="267"/>
      <c r="E171" s="267"/>
      <c r="F171" s="267"/>
      <c r="G171" s="266" t="s">
        <v>695</v>
      </c>
      <c r="H171" s="266"/>
      <c r="I171" s="268">
        <f>9&amp;"%"</f>
        <v>0</v>
      </c>
      <c r="J171" s="380">
        <f>K155+K164+K165+K166+K167+K170</f>
        <v>0</v>
      </c>
      <c r="K171" s="380">
        <f>ROUND(I171*J171,2)</f>
        <v>0</v>
      </c>
    </row>
    <row r="172" spans="1:12" ht="18.75" customHeight="1">
      <c r="A172" s="266"/>
      <c r="B172" s="267" t="s">
        <v>64</v>
      </c>
      <c r="C172" s="267"/>
      <c r="D172" s="267"/>
      <c r="E172" s="267"/>
      <c r="F172" s="267"/>
      <c r="G172" s="266" t="s">
        <v>695</v>
      </c>
      <c r="H172" s="266"/>
      <c r="I172" s="268"/>
      <c r="J172" s="268"/>
      <c r="K172" s="380">
        <f>K155+K164+K165+K166+K167+K170+K171</f>
        <v>0</v>
      </c>
    </row>
    <row r="173" spans="1:12" ht="18.75" customHeight="1">
      <c r="A173" s="266"/>
      <c r="B173" s="267" t="s">
        <v>752</v>
      </c>
      <c r="C173" s="267"/>
      <c r="D173" s="267"/>
      <c r="E173" s="267"/>
      <c r="F173" s="267"/>
      <c r="G173" s="266" t="s">
        <v>695</v>
      </c>
      <c r="H173" s="266"/>
      <c r="I173" s="268"/>
      <c r="J173" s="268"/>
      <c r="K173" s="380">
        <f>ROUND(K172/100,2)</f>
        <v>0</v>
      </c>
    </row>
    <row r="174" spans="1:11" ht="18.75" customHeight="1">
      <c r="A174" s="266"/>
      <c r="B174" s="267"/>
      <c r="C174" s="267"/>
      <c r="D174" s="267"/>
      <c r="E174" s="267"/>
      <c r="F174" s="267"/>
      <c r="G174" s="266"/>
      <c r="H174" s="266"/>
      <c r="I174" s="268"/>
      <c r="J174" s="268"/>
      <c r="K174" s="268"/>
    </row>
    <row r="175" spans="1:11" ht="18.75" customHeight="1">
      <c r="A175" s="266"/>
      <c r="B175" s="267"/>
      <c r="C175" s="267"/>
      <c r="D175" s="267"/>
      <c r="E175" s="267"/>
      <c r="F175" s="267"/>
      <c r="G175" s="266"/>
      <c r="H175" s="266"/>
      <c r="I175" s="268"/>
      <c r="J175" s="268"/>
      <c r="K175" s="268"/>
    </row>
    <row r="176" spans="1:11" ht="18.75" customHeight="1">
      <c r="A176" s="266"/>
      <c r="B176" s="267"/>
      <c r="C176" s="267"/>
      <c r="D176" s="267"/>
      <c r="E176" s="267"/>
      <c r="F176" s="267"/>
      <c r="G176" s="266"/>
      <c r="H176" s="266"/>
      <c r="I176" s="268"/>
      <c r="J176" s="268"/>
      <c r="K176" s="268"/>
    </row>
    <row r="177" spans="1:11" ht="18.75" customHeight="1">
      <c r="A177" s="266"/>
      <c r="B177" s="267"/>
      <c r="C177" s="267"/>
      <c r="D177" s="267"/>
      <c r="E177" s="267"/>
      <c r="F177" s="267"/>
      <c r="G177" s="266"/>
      <c r="H177" s="266"/>
      <c r="I177" s="268"/>
      <c r="J177" s="268"/>
      <c r="K177" s="268"/>
    </row>
    <row r="178" spans="1:11" ht="18.75" customHeight="1">
      <c r="A178" s="266"/>
      <c r="B178" s="267"/>
      <c r="C178" s="267"/>
      <c r="D178" s="267"/>
      <c r="E178" s="267"/>
      <c r="F178" s="267"/>
      <c r="G178" s="266"/>
      <c r="H178" s="266"/>
      <c r="I178" s="268"/>
      <c r="J178" s="268"/>
      <c r="K178" s="268"/>
    </row>
    <row r="179" spans="1:11" ht="18.75" customHeight="1">
      <c r="A179" s="266"/>
      <c r="B179" s="267"/>
      <c r="C179" s="267"/>
      <c r="D179" s="267"/>
      <c r="E179" s="267"/>
      <c r="F179" s="267"/>
      <c r="G179" s="266"/>
      <c r="H179" s="266"/>
      <c r="I179" s="268"/>
      <c r="J179" s="268"/>
      <c r="K179" s="268"/>
    </row>
    <row r="180" spans="1:11" ht="18.75" customHeight="1">
      <c r="A180" s="266"/>
      <c r="B180" s="267"/>
      <c r="C180" s="267"/>
      <c r="D180" s="267"/>
      <c r="E180" s="267"/>
      <c r="F180" s="267"/>
      <c r="G180" s="266"/>
      <c r="H180" s="266"/>
      <c r="I180" s="268"/>
      <c r="J180" s="268"/>
      <c r="K180" s="268"/>
    </row>
    <row r="181" spans="1:11" ht="18.75" customHeight="1">
      <c r="A181" s="266"/>
      <c r="B181" s="267"/>
      <c r="C181" s="267"/>
      <c r="D181" s="267"/>
      <c r="E181" s="267"/>
      <c r="F181" s="267"/>
      <c r="G181" s="266"/>
      <c r="H181" s="266"/>
      <c r="I181" s="268"/>
      <c r="J181" s="268"/>
      <c r="K181" s="268"/>
    </row>
    <row r="182" spans="1:11" ht="18.75" customHeight="1">
      <c r="A182" s="266"/>
      <c r="B182" s="267"/>
      <c r="C182" s="267"/>
      <c r="D182" s="267"/>
      <c r="E182" s="267"/>
      <c r="F182" s="267"/>
      <c r="G182" s="266"/>
      <c r="H182" s="266"/>
      <c r="I182" s="268"/>
      <c r="J182" s="268"/>
      <c r="K182" s="268"/>
    </row>
    <row r="183" spans="1:11" ht="18.75" customHeight="1">
      <c r="A183" s="266"/>
      <c r="B183" s="267"/>
      <c r="C183" s="267"/>
      <c r="D183" s="267"/>
      <c r="E183" s="267"/>
      <c r="F183" s="267"/>
      <c r="G183" s="266"/>
      <c r="H183" s="266"/>
      <c r="I183" s="268"/>
      <c r="J183" s="268"/>
      <c r="K183" s="268"/>
    </row>
    <row r="184" spans="1:11" ht="18.75" customHeight="1">
      <c r="A184" s="266"/>
      <c r="B184" s="267"/>
      <c r="C184" s="267"/>
      <c r="D184" s="267"/>
      <c r="E184" s="267"/>
      <c r="F184" s="267"/>
      <c r="G184" s="266"/>
      <c r="H184" s="266"/>
      <c r="I184" s="268"/>
      <c r="J184" s="268"/>
      <c r="K184" s="268"/>
    </row>
    <row r="185" spans="1:11" ht="18.75" customHeight="1">
      <c r="A185" s="266"/>
      <c r="B185" s="267"/>
      <c r="C185" s="267"/>
      <c r="D185" s="267"/>
      <c r="E185" s="267"/>
      <c r="F185" s="267"/>
      <c r="G185" s="266"/>
      <c r="H185" s="266"/>
      <c r="I185" s="268"/>
      <c r="J185" s="268"/>
      <c r="K185" s="268"/>
    </row>
    <row r="186" spans="1:11" ht="7.5" customHeight="1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</row>
    <row r="187" spans="1:11" ht="26.25" customHeight="1">
      <c r="A187" s="260" t="s">
        <v>684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</row>
    <row r="188" spans="1:11" ht="18.75" customHeight="1">
      <c r="A188" s="261" t="s">
        <v>846</v>
      </c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</row>
    <row r="189" spans="1:11" ht="18.75" customHeight="1">
      <c r="A189" s="262" t="s">
        <v>686</v>
      </c>
      <c r="B189" s="259" t="s">
        <v>49</v>
      </c>
      <c r="C189" s="259"/>
      <c r="D189" s="259"/>
      <c r="E189" s="259"/>
      <c r="F189" s="259"/>
      <c r="G189" s="259"/>
      <c r="H189" s="263" t="s">
        <v>847</v>
      </c>
      <c r="I189" s="263"/>
      <c r="J189" s="263"/>
      <c r="K189" s="263"/>
    </row>
    <row r="190" spans="1:11" ht="40.5" customHeight="1">
      <c r="A190" s="264" t="s">
        <v>688</v>
      </c>
      <c r="B190" s="265" t="s">
        <v>848</v>
      </c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1:12" ht="18.75" customHeight="1">
      <c r="A191" s="266" t="s">
        <v>28</v>
      </c>
      <c r="B191" s="266" t="s">
        <v>690</v>
      </c>
      <c r="C191" s="266" t="s">
        <v>650</v>
      </c>
      <c r="D191" s="266"/>
      <c r="E191" s="266"/>
      <c r="F191" s="266"/>
      <c r="G191" s="266" t="s">
        <v>651</v>
      </c>
      <c r="H191" s="266"/>
      <c r="I191" s="266" t="s">
        <v>691</v>
      </c>
      <c r="J191" s="266" t="s">
        <v>692</v>
      </c>
      <c r="K191" s="266" t="s">
        <v>693</v>
      </c>
    </row>
    <row r="192" spans="1:12" ht="18.75" customHeight="1">
      <c r="A192" s="266" t="s">
        <v>31</v>
      </c>
      <c r="B192" s="267" t="s">
        <v>694</v>
      </c>
      <c r="C192" s="267"/>
      <c r="D192" s="267"/>
      <c r="E192" s="267"/>
      <c r="F192" s="267"/>
      <c r="G192" s="266" t="s">
        <v>695</v>
      </c>
      <c r="H192" s="266"/>
      <c r="I192" s="268"/>
      <c r="J192" s="268"/>
      <c r="K192" s="380">
        <f>K193+K196+K199+K207+K208</f>
        <v>0</v>
      </c>
    </row>
    <row r="193" spans="1:12" ht="18.75" customHeight="1">
      <c r="A193" s="266" t="s">
        <v>76</v>
      </c>
      <c r="B193" s="267" t="s">
        <v>353</v>
      </c>
      <c r="C193" s="267"/>
      <c r="D193" s="267"/>
      <c r="E193" s="267"/>
      <c r="F193" s="267"/>
      <c r="G193" s="266" t="s">
        <v>695</v>
      </c>
      <c r="H193" s="266"/>
      <c r="I193" s="268"/>
      <c r="J193" s="268"/>
      <c r="K193" s="380">
        <f>SUM(K194:K195)</f>
        <v>0</v>
      </c>
    </row>
    <row r="194" spans="1:12" ht="18.75" customHeight="1">
      <c r="A194" s="266"/>
      <c r="B194" s="267" t="s">
        <v>698</v>
      </c>
      <c r="C194" s="267"/>
      <c r="D194" s="267"/>
      <c r="E194" s="267"/>
      <c r="F194" s="267"/>
      <c r="G194" s="266" t="s">
        <v>699</v>
      </c>
      <c r="H194" s="266"/>
      <c r="I194" s="268">
        <f>ROUND(129*0.3,3)</f>
        <v>0</v>
      </c>
      <c r="J194" s="380">
        <v>3.46</v>
      </c>
      <c r="K194" s="380">
        <f>ROUND(I194*J194,2)</f>
        <v>0</v>
      </c>
    </row>
    <row r="195" spans="1:12" ht="18.75" customHeight="1">
      <c r="A195" s="266"/>
      <c r="B195" s="267" t="s">
        <v>698</v>
      </c>
      <c r="C195" s="267"/>
      <c r="D195" s="267"/>
      <c r="E195" s="267"/>
      <c r="F195" s="267"/>
      <c r="G195" s="266" t="s">
        <v>699</v>
      </c>
      <c r="H195" s="266"/>
      <c r="I195" s="268">
        <f>ROUND(21.9*0.7,3)</f>
        <v>0</v>
      </c>
      <c r="J195" s="380">
        <v>3.46</v>
      </c>
      <c r="K195" s="380">
        <f>ROUND(I195*J195,2)</f>
        <v>0</v>
      </c>
    </row>
    <row r="196" spans="1:12" ht="18.75" customHeight="1">
      <c r="A196" s="266" t="s">
        <v>152</v>
      </c>
      <c r="B196" s="267" t="s">
        <v>354</v>
      </c>
      <c r="C196" s="267"/>
      <c r="D196" s="267"/>
      <c r="E196" s="267"/>
      <c r="F196" s="267"/>
      <c r="G196" s="266" t="s">
        <v>695</v>
      </c>
      <c r="H196" s="266"/>
      <c r="I196" s="268"/>
      <c r="J196" s="268"/>
      <c r="K196" s="380">
        <f>SUM(K197:K198)</f>
        <v>0</v>
      </c>
    </row>
    <row r="197" spans="1:12" ht="18.75" customHeight="1">
      <c r="A197" s="266"/>
      <c r="B197" s="267" t="s">
        <v>702</v>
      </c>
      <c r="C197" s="267"/>
      <c r="D197" s="267"/>
      <c r="E197" s="267"/>
      <c r="F197" s="267"/>
      <c r="G197" s="266" t="s">
        <v>334</v>
      </c>
      <c r="H197" s="266"/>
      <c r="I197" s="268">
        <f>ROUND(5,3)</f>
        <v>0</v>
      </c>
      <c r="J197" s="380">
        <f>K194+K200</f>
        <v>0</v>
      </c>
      <c r="K197" s="380">
        <f>ROUND(I197*J197/100,2)</f>
        <v>0</v>
      </c>
    </row>
    <row r="198" spans="1:12" ht="18.75" customHeight="1">
      <c r="A198" s="266"/>
      <c r="B198" s="267" t="s">
        <v>702</v>
      </c>
      <c r="C198" s="267"/>
      <c r="D198" s="267"/>
      <c r="E198" s="267"/>
      <c r="F198" s="267"/>
      <c r="G198" s="266" t="s">
        <v>334</v>
      </c>
      <c r="H198" s="266"/>
      <c r="I198" s="268">
        <f>ROUND(10,3)</f>
        <v>0</v>
      </c>
      <c r="J198" s="380">
        <f>K195+K201+K202+K203+K204+K205+K206</f>
        <v>0</v>
      </c>
      <c r="K198" s="380">
        <f>ROUND(I198*J198/100,2)</f>
        <v>0</v>
      </c>
    </row>
    <row r="199" spans="1:12" ht="18.75" customHeight="1">
      <c r="A199" s="266" t="s">
        <v>704</v>
      </c>
      <c r="B199" s="267" t="s">
        <v>705</v>
      </c>
      <c r="C199" s="267"/>
      <c r="D199" s="267"/>
      <c r="E199" s="267"/>
      <c r="F199" s="267"/>
      <c r="G199" s="266" t="s">
        <v>695</v>
      </c>
      <c r="H199" s="266"/>
      <c r="I199" s="268"/>
      <c r="J199" s="268"/>
      <c r="K199" s="380">
        <f>SUM(K200:K206)</f>
        <v>0</v>
      </c>
    </row>
    <row r="200" spans="1:12" ht="18.75" customHeight="1">
      <c r="A200" s="266"/>
      <c r="B200" s="267" t="s">
        <v>860</v>
      </c>
      <c r="C200" s="267" t="s">
        <v>861</v>
      </c>
      <c r="D200" s="267"/>
      <c r="E200" s="267"/>
      <c r="F200" s="267"/>
      <c r="G200" s="266" t="s">
        <v>709</v>
      </c>
      <c r="H200" s="266"/>
      <c r="I200" s="268">
        <f>ROUND(14.4*0.3,3)</f>
        <v>0</v>
      </c>
      <c r="J200" s="380">
        <v>10.1</v>
      </c>
      <c r="K200" s="380">
        <f>ROUND(I200*J200,2)</f>
        <v>0</v>
      </c>
    </row>
    <row r="201" spans="1:12" ht="18.75" customHeight="1">
      <c r="A201" s="266"/>
      <c r="B201" s="267" t="s">
        <v>711</v>
      </c>
      <c r="C201" s="267" t="s">
        <v>865</v>
      </c>
      <c r="D201" s="267"/>
      <c r="E201" s="267"/>
      <c r="F201" s="267"/>
      <c r="G201" s="266" t="s">
        <v>709</v>
      </c>
      <c r="H201" s="266"/>
      <c r="I201" s="268">
        <f>ROUND(0.5*0.7,3)</f>
        <v>0</v>
      </c>
      <c r="J201" s="380">
        <v>78.7</v>
      </c>
      <c r="K201" s="380">
        <f>ROUND(I201*J201,2)</f>
        <v>0</v>
      </c>
    </row>
    <row r="202" spans="1:12" ht="18.75" customHeight="1">
      <c r="A202" s="266"/>
      <c r="B202" s="267" t="s">
        <v>869</v>
      </c>
      <c r="C202" s="267" t="s">
        <v>870</v>
      </c>
      <c r="D202" s="267"/>
      <c r="E202" s="267"/>
      <c r="F202" s="267"/>
      <c r="G202" s="266" t="s">
        <v>709</v>
      </c>
      <c r="H202" s="266"/>
      <c r="I202" s="268">
        <f>ROUND(1.19*0.7,3)</f>
        <v>0</v>
      </c>
      <c r="J202" s="380">
        <v>57.52</v>
      </c>
      <c r="K202" s="380">
        <f>ROUND(I202*J202,2)</f>
        <v>0</v>
      </c>
    </row>
    <row r="203" spans="1:12" ht="18.75" customHeight="1">
      <c r="A203" s="266"/>
      <c r="B203" s="267" t="s">
        <v>874</v>
      </c>
      <c r="C203" s="267" t="s">
        <v>875</v>
      </c>
      <c r="D203" s="267"/>
      <c r="E203" s="267"/>
      <c r="F203" s="267"/>
      <c r="G203" s="266" t="s">
        <v>709</v>
      </c>
      <c r="H203" s="266"/>
      <c r="I203" s="268">
        <f>ROUND(1.66*0.7,3)</f>
        <v>0</v>
      </c>
      <c r="J203" s="380">
        <v>2.09</v>
      </c>
      <c r="K203" s="380">
        <f>ROUND(I203*J203,2)</f>
        <v>0</v>
      </c>
    </row>
    <row r="204" spans="1:12" ht="18.75" customHeight="1">
      <c r="A204" s="266"/>
      <c r="B204" s="267" t="s">
        <v>878</v>
      </c>
      <c r="C204" s="267"/>
      <c r="D204" s="267"/>
      <c r="E204" s="267"/>
      <c r="F204" s="267"/>
      <c r="G204" s="266" t="s">
        <v>709</v>
      </c>
      <c r="H204" s="266"/>
      <c r="I204" s="268">
        <f>ROUND(0.5*0.7,3)</f>
        <v>0</v>
      </c>
      <c r="J204" s="380">
        <v>40.37</v>
      </c>
      <c r="K204" s="380">
        <f>ROUND(I204*J204,2)</f>
        <v>0</v>
      </c>
    </row>
    <row r="205" spans="1:12" ht="18.75" customHeight="1">
      <c r="A205" s="266"/>
      <c r="B205" s="267" t="s">
        <v>860</v>
      </c>
      <c r="C205" s="267" t="s">
        <v>861</v>
      </c>
      <c r="D205" s="267"/>
      <c r="E205" s="267"/>
      <c r="F205" s="267"/>
      <c r="G205" s="266" t="s">
        <v>709</v>
      </c>
      <c r="H205" s="266"/>
      <c r="I205" s="268">
        <f>ROUND(1*0.7,3)</f>
        <v>0</v>
      </c>
      <c r="J205" s="380">
        <v>10.1</v>
      </c>
      <c r="K205" s="380">
        <f>ROUND(I205*J205,2)</f>
        <v>0</v>
      </c>
    </row>
    <row r="206" spans="1:12" ht="18.75" customHeight="1">
      <c r="A206" s="266"/>
      <c r="B206" s="267" t="s">
        <v>883</v>
      </c>
      <c r="C206" s="267"/>
      <c r="D206" s="267"/>
      <c r="E206" s="267"/>
      <c r="F206" s="267"/>
      <c r="G206" s="266" t="s">
        <v>334</v>
      </c>
      <c r="H206" s="266"/>
      <c r="I206" s="268">
        <f>ROUND(2,3)</f>
        <v>0</v>
      </c>
      <c r="J206" s="380">
        <f>K201+K202+K203+K204+K205</f>
        <v>0</v>
      </c>
      <c r="K206" s="380">
        <f>ROUND(I206*J206/100,2)</f>
        <v>0</v>
      </c>
    </row>
    <row r="207" spans="1:12" ht="18.75" customHeight="1">
      <c r="A207" s="266" t="s">
        <v>721</v>
      </c>
      <c r="B207" s="267" t="s">
        <v>722</v>
      </c>
      <c r="C207" s="267"/>
      <c r="D207" s="267"/>
      <c r="E207" s="267"/>
      <c r="F207" s="267"/>
      <c r="G207" s="266" t="s">
        <v>695</v>
      </c>
      <c r="H207" s="266"/>
      <c r="I207" s="268">
        <f>3.5&amp;"%"</f>
        <v>0</v>
      </c>
      <c r="J207" s="380">
        <f>K193+K196+K199</f>
        <v>0</v>
      </c>
      <c r="K207" s="380">
        <f>ROUND(I207*J207,2)</f>
        <v>0</v>
      </c>
    </row>
    <row r="208" spans="1:12" ht="18.75" customHeight="1">
      <c r="A208" s="266" t="s">
        <v>348</v>
      </c>
      <c r="B208" s="267" t="s">
        <v>726</v>
      </c>
      <c r="C208" s="267"/>
      <c r="D208" s="267"/>
      <c r="E208" s="267"/>
      <c r="F208" s="267"/>
      <c r="G208" s="266" t="s">
        <v>695</v>
      </c>
      <c r="H208" s="266"/>
      <c r="I208" s="268">
        <f>6&amp;"%"</f>
        <v>0</v>
      </c>
      <c r="J208" s="380">
        <f>K193+K196+K199</f>
        <v>0</v>
      </c>
      <c r="K208" s="380">
        <f>ROUND(I208*J208,2)</f>
        <v>0</v>
      </c>
    </row>
    <row r="209" spans="1:12" ht="18.75" customHeight="1">
      <c r="A209" s="266" t="s">
        <v>34</v>
      </c>
      <c r="B209" s="267" t="s">
        <v>729</v>
      </c>
      <c r="C209" s="267"/>
      <c r="D209" s="267"/>
      <c r="E209" s="267"/>
      <c r="F209" s="267"/>
      <c r="G209" s="266" t="s">
        <v>695</v>
      </c>
      <c r="H209" s="266"/>
      <c r="I209" s="268">
        <f>5.8&amp;"%"</f>
        <v>0</v>
      </c>
      <c r="J209" s="380">
        <f>K192</f>
        <v>0</v>
      </c>
      <c r="K209" s="380">
        <f>ROUND(I209*J209,2)</f>
        <v>0</v>
      </c>
    </row>
    <row r="210" spans="1:12" ht="18.75" customHeight="1">
      <c r="A210" s="266" t="s">
        <v>37</v>
      </c>
      <c r="B210" s="267" t="s">
        <v>732</v>
      </c>
      <c r="C210" s="267"/>
      <c r="D210" s="267"/>
      <c r="E210" s="267"/>
      <c r="F210" s="267"/>
      <c r="G210" s="266" t="s">
        <v>695</v>
      </c>
      <c r="H210" s="266"/>
      <c r="I210" s="268">
        <f>32.8&amp;"%"</f>
        <v>0</v>
      </c>
      <c r="J210" s="380">
        <f>K193+ROUND(I200*2*3.46,2)+ROUND(I201*2.4*3.46,2)+ROUND(I202*2.4*3.46,2)+ROUND(I204*2.4*3.46,2)+ROUND(I205*2*3.46,2)</f>
        <v>0</v>
      </c>
      <c r="K210" s="380">
        <f>ROUND(I210*J210,2)</f>
        <v>0</v>
      </c>
    </row>
    <row r="211" spans="1:12" ht="18.75" customHeight="1">
      <c r="A211" s="266" t="s">
        <v>40</v>
      </c>
      <c r="B211" s="267" t="s">
        <v>736</v>
      </c>
      <c r="C211" s="267"/>
      <c r="D211" s="267"/>
      <c r="E211" s="267"/>
      <c r="F211" s="267"/>
      <c r="G211" s="266" t="s">
        <v>695</v>
      </c>
      <c r="H211" s="266"/>
      <c r="I211" s="268">
        <f>7&amp;"%"</f>
        <v>0</v>
      </c>
      <c r="J211" s="380">
        <f>K192+K209+K210</f>
        <v>0</v>
      </c>
      <c r="K211" s="380">
        <f>ROUND(I211*J211,2)</f>
        <v>0</v>
      </c>
    </row>
    <row r="212" spans="1:12" ht="18.75" customHeight="1">
      <c r="A212" s="266" t="s">
        <v>43</v>
      </c>
      <c r="B212" s="267" t="s">
        <v>361</v>
      </c>
      <c r="C212" s="267"/>
      <c r="D212" s="267"/>
      <c r="E212" s="267"/>
      <c r="F212" s="267"/>
      <c r="G212" s="266" t="s">
        <v>695</v>
      </c>
      <c r="H212" s="266"/>
      <c r="I212" s="268"/>
      <c r="J212" s="268"/>
      <c r="K212" s="380">
        <f>SUM(K213:K215)</f>
        <v>0</v>
      </c>
    </row>
    <row r="213" spans="1:12" ht="18.75" customHeight="1">
      <c r="A213" s="266"/>
      <c r="B213" s="267" t="s">
        <v>698</v>
      </c>
      <c r="C213" s="267"/>
      <c r="D213" s="267"/>
      <c r="E213" s="267"/>
      <c r="F213" s="267"/>
      <c r="G213" s="266" t="s">
        <v>699</v>
      </c>
      <c r="H213" s="266"/>
      <c r="I213" s="268">
        <f>ROUND(I194+I195,3)</f>
        <v>0</v>
      </c>
      <c r="J213" s="380">
        <v>4</v>
      </c>
      <c r="K213" s="380">
        <f>ROUND(I213*J213,2)</f>
        <v>0</v>
      </c>
    </row>
    <row r="214" spans="1:12" ht="18.75" customHeight="1">
      <c r="A214" s="266"/>
      <c r="B214" s="267" t="s">
        <v>741</v>
      </c>
      <c r="C214" s="267"/>
      <c r="D214" s="267"/>
      <c r="E214" s="267"/>
      <c r="F214" s="267"/>
      <c r="G214" s="266" t="s">
        <v>699</v>
      </c>
      <c r="H214" s="266"/>
      <c r="I214" s="268">
        <f>ROUND(I200*2+I201*2.4+I202*2.4+I204*2.4+I205*2,3)</f>
        <v>0</v>
      </c>
      <c r="J214" s="380">
        <v>4</v>
      </c>
      <c r="K214" s="380">
        <f>ROUND(I214*J214,2)</f>
        <v>0</v>
      </c>
    </row>
    <row r="215" spans="1:12" ht="18.75" customHeight="1">
      <c r="A215" s="266"/>
      <c r="B215" s="267" t="s">
        <v>663</v>
      </c>
      <c r="C215" s="267" t="s">
        <v>664</v>
      </c>
      <c r="D215" s="267"/>
      <c r="E215" s="267"/>
      <c r="F215" s="267"/>
      <c r="G215" s="266" t="s">
        <v>656</v>
      </c>
      <c r="H215" s="266"/>
      <c r="I215" s="268">
        <f>ROUND(I201*10.6+I202*9.9+I204*7.4,3)</f>
        <v>0</v>
      </c>
      <c r="J215" s="380">
        <v>2.56</v>
      </c>
      <c r="K215" s="380">
        <f>ROUND(I215*J215,2)</f>
        <v>0</v>
      </c>
    </row>
    <row r="216" spans="1:12" ht="18.75" customHeight="1">
      <c r="A216" s="266" t="s">
        <v>46</v>
      </c>
      <c r="B216" s="267" t="s">
        <v>362</v>
      </c>
      <c r="C216" s="267"/>
      <c r="D216" s="267"/>
      <c r="E216" s="267"/>
      <c r="F216" s="267"/>
      <c r="G216" s="266" t="s">
        <v>695</v>
      </c>
      <c r="H216" s="266"/>
      <c r="I216" s="268">
        <f>0&amp;"%"</f>
        <v>0</v>
      </c>
      <c r="J216" s="380">
        <f>K192+K209+K210+K211+K212</f>
        <v>0</v>
      </c>
      <c r="K216" s="380">
        <f>ROUND(I216*J216,2)</f>
        <v>0</v>
      </c>
    </row>
    <row r="217" spans="1:12" ht="18.75" customHeight="1">
      <c r="A217" s="266" t="s">
        <v>49</v>
      </c>
      <c r="B217" s="267" t="s">
        <v>363</v>
      </c>
      <c r="C217" s="267"/>
      <c r="D217" s="267"/>
      <c r="E217" s="267"/>
      <c r="F217" s="267"/>
      <c r="G217" s="266" t="s">
        <v>695</v>
      </c>
      <c r="H217" s="266"/>
      <c r="I217" s="268">
        <f>9&amp;"%"</f>
        <v>0</v>
      </c>
      <c r="J217" s="380">
        <f>K192+K209+K210+K211+K212+K216</f>
        <v>0</v>
      </c>
      <c r="K217" s="380">
        <f>ROUND(I217*J217,2)</f>
        <v>0</v>
      </c>
    </row>
    <row r="218" spans="1:12" ht="18.75" customHeight="1">
      <c r="A218" s="266"/>
      <c r="B218" s="267" t="s">
        <v>64</v>
      </c>
      <c r="C218" s="267"/>
      <c r="D218" s="267"/>
      <c r="E218" s="267"/>
      <c r="F218" s="267"/>
      <c r="G218" s="266" t="s">
        <v>695</v>
      </c>
      <c r="H218" s="266"/>
      <c r="I218" s="268"/>
      <c r="J218" s="268"/>
      <c r="K218" s="380">
        <f>K192+K209+K210+K211+K212+K216+K217</f>
        <v>0</v>
      </c>
    </row>
    <row r="219" spans="1:12" ht="18.75" customHeight="1">
      <c r="A219" s="266"/>
      <c r="B219" s="267" t="s">
        <v>752</v>
      </c>
      <c r="C219" s="267"/>
      <c r="D219" s="267"/>
      <c r="E219" s="267"/>
      <c r="F219" s="267"/>
      <c r="G219" s="266" t="s">
        <v>695</v>
      </c>
      <c r="H219" s="266"/>
      <c r="I219" s="268"/>
      <c r="J219" s="268"/>
      <c r="K219" s="380">
        <f>ROUND(K218/100,2)</f>
        <v>0</v>
      </c>
    </row>
    <row r="220" spans="1:11" ht="18.75" customHeight="1">
      <c r="A220" s="266"/>
      <c r="B220" s="267"/>
      <c r="C220" s="267"/>
      <c r="D220" s="267"/>
      <c r="E220" s="267"/>
      <c r="F220" s="267"/>
      <c r="G220" s="266"/>
      <c r="H220" s="266"/>
      <c r="I220" s="268"/>
      <c r="J220" s="268"/>
      <c r="K220" s="268"/>
    </row>
    <row r="221" spans="1:11" ht="18.75" customHeight="1">
      <c r="A221" s="266"/>
      <c r="B221" s="267"/>
      <c r="C221" s="267"/>
      <c r="D221" s="267"/>
      <c r="E221" s="267"/>
      <c r="F221" s="267"/>
      <c r="G221" s="266"/>
      <c r="H221" s="266"/>
      <c r="I221" s="268"/>
      <c r="J221" s="268"/>
      <c r="K221" s="268"/>
    </row>
    <row r="222" spans="1:11" ht="7.5" customHeight="1">
      <c r="A222" s="259"/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</row>
    <row r="223" spans="1:11" ht="26.25" customHeight="1">
      <c r="A223" s="260" t="s">
        <v>684</v>
      </c>
      <c r="B223" s="260"/>
      <c r="C223" s="260"/>
      <c r="D223" s="260"/>
      <c r="E223" s="260"/>
      <c r="F223" s="260"/>
      <c r="G223" s="260"/>
      <c r="H223" s="260"/>
      <c r="I223" s="260"/>
      <c r="J223" s="260"/>
      <c r="K223" s="260"/>
    </row>
    <row r="224" spans="1:11" ht="18.75" customHeight="1">
      <c r="A224" s="261" t="s">
        <v>903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</row>
    <row r="225" spans="1:11" ht="18.75" customHeight="1">
      <c r="A225" s="262" t="s">
        <v>686</v>
      </c>
      <c r="B225" s="259" t="s">
        <v>52</v>
      </c>
      <c r="C225" s="259"/>
      <c r="D225" s="259"/>
      <c r="E225" s="259"/>
      <c r="F225" s="259"/>
      <c r="G225" s="259"/>
      <c r="H225" s="263" t="s">
        <v>847</v>
      </c>
      <c r="I225" s="263"/>
      <c r="J225" s="263"/>
      <c r="K225" s="263"/>
    </row>
    <row r="226" spans="1:11" ht="40.5" customHeight="1">
      <c r="A226" s="264" t="s">
        <v>688</v>
      </c>
      <c r="B226" s="265" t="s">
        <v>904</v>
      </c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1:12" ht="18.75" customHeight="1">
      <c r="A227" s="266" t="s">
        <v>28</v>
      </c>
      <c r="B227" s="266" t="s">
        <v>690</v>
      </c>
      <c r="C227" s="266" t="s">
        <v>650</v>
      </c>
      <c r="D227" s="266"/>
      <c r="E227" s="266"/>
      <c r="F227" s="266"/>
      <c r="G227" s="266" t="s">
        <v>651</v>
      </c>
      <c r="H227" s="266"/>
      <c r="I227" s="266" t="s">
        <v>691</v>
      </c>
      <c r="J227" s="266" t="s">
        <v>692</v>
      </c>
      <c r="K227" s="266" t="s">
        <v>693</v>
      </c>
    </row>
    <row r="228" spans="1:12" ht="18.75" customHeight="1">
      <c r="A228" s="266" t="s">
        <v>31</v>
      </c>
      <c r="B228" s="267" t="s">
        <v>694</v>
      </c>
      <c r="C228" s="267"/>
      <c r="D228" s="267"/>
      <c r="E228" s="267"/>
      <c r="F228" s="267"/>
      <c r="G228" s="266" t="s">
        <v>695</v>
      </c>
      <c r="H228" s="266"/>
      <c r="I228" s="268"/>
      <c r="J228" s="268"/>
      <c r="K228" s="380">
        <f>K229+K232+K235+K239+K240</f>
        <v>0</v>
      </c>
    </row>
    <row r="229" spans="1:12" ht="18.75" customHeight="1">
      <c r="A229" s="266" t="s">
        <v>76</v>
      </c>
      <c r="B229" s="267" t="s">
        <v>353</v>
      </c>
      <c r="C229" s="267"/>
      <c r="D229" s="267"/>
      <c r="E229" s="267"/>
      <c r="F229" s="267"/>
      <c r="G229" s="266" t="s">
        <v>695</v>
      </c>
      <c r="H229" s="266"/>
      <c r="I229" s="268"/>
      <c r="J229" s="268"/>
      <c r="K229" s="380">
        <f>SUM(K230:K231)</f>
        <v>0</v>
      </c>
    </row>
    <row r="230" spans="1:12" ht="18.75" customHeight="1">
      <c r="A230" s="266"/>
      <c r="B230" s="267" t="s">
        <v>698</v>
      </c>
      <c r="C230" s="267"/>
      <c r="D230" s="267"/>
      <c r="E230" s="267"/>
      <c r="F230" s="267"/>
      <c r="G230" s="266" t="s">
        <v>699</v>
      </c>
      <c r="H230" s="266"/>
      <c r="I230" s="268">
        <f>ROUND(51,3)</f>
        <v>0</v>
      </c>
      <c r="J230" s="380">
        <v>3.46</v>
      </c>
      <c r="K230" s="380">
        <f>ROUND(I230*J230,2)</f>
        <v>0</v>
      </c>
    </row>
    <row r="231" spans="1:12" ht="18.75" customHeight="1">
      <c r="A231" s="266"/>
      <c r="B231" s="267" t="s">
        <v>698</v>
      </c>
      <c r="C231" s="267"/>
      <c r="D231" s="267"/>
      <c r="E231" s="267"/>
      <c r="F231" s="267"/>
      <c r="G231" s="266" t="s">
        <v>699</v>
      </c>
      <c r="H231" s="266"/>
      <c r="I231" s="268">
        <f>ROUND(6,3)</f>
        <v>0</v>
      </c>
      <c r="J231" s="380">
        <v>3.46</v>
      </c>
      <c r="K231" s="380">
        <f>ROUND(I231*J231,2)</f>
        <v>0</v>
      </c>
    </row>
    <row r="232" spans="1:12" ht="18.75" customHeight="1">
      <c r="A232" s="266" t="s">
        <v>152</v>
      </c>
      <c r="B232" s="267" t="s">
        <v>354</v>
      </c>
      <c r="C232" s="267"/>
      <c r="D232" s="267"/>
      <c r="E232" s="267"/>
      <c r="F232" s="267"/>
      <c r="G232" s="266" t="s">
        <v>695</v>
      </c>
      <c r="H232" s="266"/>
      <c r="I232" s="268"/>
      <c r="J232" s="268"/>
      <c r="K232" s="380">
        <f>SUM(K233:K234)</f>
        <v>0</v>
      </c>
    </row>
    <row r="233" spans="1:12" ht="18.75" customHeight="1">
      <c r="A233" s="266"/>
      <c r="B233" s="267" t="s">
        <v>702</v>
      </c>
      <c r="C233" s="267"/>
      <c r="D233" s="267"/>
      <c r="E233" s="267"/>
      <c r="F233" s="267"/>
      <c r="G233" s="266" t="s">
        <v>334</v>
      </c>
      <c r="H233" s="266"/>
      <c r="I233" s="268">
        <f>ROUND(5,3)</f>
        <v>0</v>
      </c>
      <c r="J233" s="380">
        <f>K230</f>
        <v>0</v>
      </c>
      <c r="K233" s="380">
        <f>ROUND(I233*J233/100,2)</f>
        <v>0</v>
      </c>
    </row>
    <row r="234" spans="1:12" ht="18.75" customHeight="1">
      <c r="A234" s="266"/>
      <c r="B234" s="267" t="s">
        <v>702</v>
      </c>
      <c r="C234" s="267"/>
      <c r="D234" s="267"/>
      <c r="E234" s="267"/>
      <c r="F234" s="267"/>
      <c r="G234" s="266" t="s">
        <v>334</v>
      </c>
      <c r="H234" s="266"/>
      <c r="I234" s="268">
        <f>ROUND(4,3)</f>
        <v>0</v>
      </c>
      <c r="J234" s="380">
        <f>K231+K236+K237+K238</f>
        <v>0</v>
      </c>
      <c r="K234" s="380">
        <f>ROUND(I234*J234/100,2)</f>
        <v>0</v>
      </c>
    </row>
    <row r="235" spans="1:12" ht="18.75" customHeight="1">
      <c r="A235" s="266" t="s">
        <v>704</v>
      </c>
      <c r="B235" s="267" t="s">
        <v>705</v>
      </c>
      <c r="C235" s="267"/>
      <c r="D235" s="267"/>
      <c r="E235" s="267"/>
      <c r="F235" s="267"/>
      <c r="G235" s="266" t="s">
        <v>695</v>
      </c>
      <c r="H235" s="266"/>
      <c r="I235" s="268"/>
      <c r="J235" s="268"/>
      <c r="K235" s="380">
        <f>SUM(K236:K238)</f>
        <v>0</v>
      </c>
    </row>
    <row r="236" spans="1:12" ht="18.75" customHeight="1">
      <c r="A236" s="266"/>
      <c r="B236" s="267" t="s">
        <v>707</v>
      </c>
      <c r="C236" s="267" t="s">
        <v>708</v>
      </c>
      <c r="D236" s="267"/>
      <c r="E236" s="267"/>
      <c r="F236" s="267"/>
      <c r="G236" s="266" t="s">
        <v>709</v>
      </c>
      <c r="H236" s="266"/>
      <c r="I236" s="268">
        <f>ROUND(1,3)</f>
        <v>0</v>
      </c>
      <c r="J236" s="380">
        <v>112.25</v>
      </c>
      <c r="K236" s="380">
        <f>ROUND(I236*J236,2)</f>
        <v>0</v>
      </c>
    </row>
    <row r="237" spans="1:12" ht="18.75" customHeight="1">
      <c r="A237" s="266"/>
      <c r="B237" s="267" t="s">
        <v>711</v>
      </c>
      <c r="C237" s="267" t="s">
        <v>712</v>
      </c>
      <c r="D237" s="267"/>
      <c r="E237" s="267"/>
      <c r="F237" s="267"/>
      <c r="G237" s="266" t="s">
        <v>709</v>
      </c>
      <c r="H237" s="266"/>
      <c r="I237" s="268">
        <f>ROUND(0.5,3)</f>
        <v>0</v>
      </c>
      <c r="J237" s="380">
        <v>55.49</v>
      </c>
      <c r="K237" s="380">
        <f>ROUND(I237*J237,2)</f>
        <v>0</v>
      </c>
    </row>
    <row r="238" spans="1:12" ht="18.75" customHeight="1">
      <c r="A238" s="266"/>
      <c r="B238" s="267" t="s">
        <v>716</v>
      </c>
      <c r="C238" s="267" t="s">
        <v>717</v>
      </c>
      <c r="D238" s="267"/>
      <c r="E238" s="267"/>
      <c r="F238" s="267"/>
      <c r="G238" s="266" t="s">
        <v>709</v>
      </c>
      <c r="H238" s="266"/>
      <c r="I238" s="268">
        <f>ROUND(13.38,3)</f>
        <v>0</v>
      </c>
      <c r="J238" s="380">
        <v>67.52</v>
      </c>
      <c r="K238" s="380">
        <f>ROUND(I238*J238,2)</f>
        <v>0</v>
      </c>
    </row>
    <row r="239" spans="1:12" ht="18.75" customHeight="1">
      <c r="A239" s="266" t="s">
        <v>721</v>
      </c>
      <c r="B239" s="267" t="s">
        <v>722</v>
      </c>
      <c r="C239" s="267"/>
      <c r="D239" s="267"/>
      <c r="E239" s="267"/>
      <c r="F239" s="267"/>
      <c r="G239" s="266" t="s">
        <v>695</v>
      </c>
      <c r="H239" s="266"/>
      <c r="I239" s="268">
        <f>3.5&amp;"%"</f>
        <v>0</v>
      </c>
      <c r="J239" s="380">
        <f>K229+K232+K235</f>
        <v>0</v>
      </c>
      <c r="K239" s="380">
        <f>ROUND(I239*J239,2)</f>
        <v>0</v>
      </c>
    </row>
    <row r="240" spans="1:12" ht="18.75" customHeight="1">
      <c r="A240" s="266" t="s">
        <v>348</v>
      </c>
      <c r="B240" s="267" t="s">
        <v>726</v>
      </c>
      <c r="C240" s="267"/>
      <c r="D240" s="267"/>
      <c r="E240" s="267"/>
      <c r="F240" s="267"/>
      <c r="G240" s="266" t="s">
        <v>695</v>
      </c>
      <c r="H240" s="266"/>
      <c r="I240" s="268">
        <f>6&amp;"%"</f>
        <v>0</v>
      </c>
      <c r="J240" s="380">
        <f>K229+K232+K235</f>
        <v>0</v>
      </c>
      <c r="K240" s="380">
        <f>ROUND(I240*J240,2)</f>
        <v>0</v>
      </c>
    </row>
    <row r="241" spans="1:12" ht="18.75" customHeight="1">
      <c r="A241" s="266" t="s">
        <v>34</v>
      </c>
      <c r="B241" s="267" t="s">
        <v>729</v>
      </c>
      <c r="C241" s="267"/>
      <c r="D241" s="267"/>
      <c r="E241" s="267"/>
      <c r="F241" s="267"/>
      <c r="G241" s="266" t="s">
        <v>695</v>
      </c>
      <c r="H241" s="266"/>
      <c r="I241" s="268">
        <f>5.8&amp;"%"</f>
        <v>0</v>
      </c>
      <c r="J241" s="380">
        <f>K228</f>
        <v>0</v>
      </c>
      <c r="K241" s="380">
        <f>ROUND(I241*J241,2)</f>
        <v>0</v>
      </c>
    </row>
    <row r="242" spans="1:12" ht="18.75" customHeight="1">
      <c r="A242" s="266" t="s">
        <v>37</v>
      </c>
      <c r="B242" s="267" t="s">
        <v>732</v>
      </c>
      <c r="C242" s="267"/>
      <c r="D242" s="267"/>
      <c r="E242" s="267"/>
      <c r="F242" s="267"/>
      <c r="G242" s="266" t="s">
        <v>695</v>
      </c>
      <c r="H242" s="266"/>
      <c r="I242" s="268">
        <f>32.8&amp;"%"</f>
        <v>0</v>
      </c>
      <c r="J242" s="380">
        <f>K229+ROUND(I236*2.7*3.46,2)+ROUND(I237*2.4*3.46,2)+ROUND(I238*1.3*3.46,2)</f>
        <v>0</v>
      </c>
      <c r="K242" s="380">
        <f>ROUND(I242*J242,2)</f>
        <v>0</v>
      </c>
    </row>
    <row r="243" spans="1:12" ht="18.75" customHeight="1">
      <c r="A243" s="266" t="s">
        <v>40</v>
      </c>
      <c r="B243" s="267" t="s">
        <v>736</v>
      </c>
      <c r="C243" s="267"/>
      <c r="D243" s="267"/>
      <c r="E243" s="267"/>
      <c r="F243" s="267"/>
      <c r="G243" s="266" t="s">
        <v>695</v>
      </c>
      <c r="H243" s="266"/>
      <c r="I243" s="268">
        <f>7&amp;"%"</f>
        <v>0</v>
      </c>
      <c r="J243" s="380">
        <f>K228+K241+K242</f>
        <v>0</v>
      </c>
      <c r="K243" s="380">
        <f>ROUND(I243*J243,2)</f>
        <v>0</v>
      </c>
    </row>
    <row r="244" spans="1:12" ht="18.75" customHeight="1">
      <c r="A244" s="266" t="s">
        <v>43</v>
      </c>
      <c r="B244" s="267" t="s">
        <v>361</v>
      </c>
      <c r="C244" s="267"/>
      <c r="D244" s="267"/>
      <c r="E244" s="267"/>
      <c r="F244" s="267"/>
      <c r="G244" s="266" t="s">
        <v>695</v>
      </c>
      <c r="H244" s="266"/>
      <c r="I244" s="268"/>
      <c r="J244" s="268"/>
      <c r="K244" s="380">
        <f>SUM(K245:K247)</f>
        <v>0</v>
      </c>
    </row>
    <row r="245" spans="1:12" ht="18.75" customHeight="1">
      <c r="A245" s="266"/>
      <c r="B245" s="267" t="s">
        <v>698</v>
      </c>
      <c r="C245" s="267"/>
      <c r="D245" s="267"/>
      <c r="E245" s="267"/>
      <c r="F245" s="267"/>
      <c r="G245" s="266" t="s">
        <v>699</v>
      </c>
      <c r="H245" s="266"/>
      <c r="I245" s="268">
        <f>ROUND(I230+I231,3)</f>
        <v>0</v>
      </c>
      <c r="J245" s="380">
        <v>4</v>
      </c>
      <c r="K245" s="380">
        <f>ROUND(I245*J245,2)</f>
        <v>0</v>
      </c>
    </row>
    <row r="246" spans="1:12" ht="18.75" customHeight="1">
      <c r="A246" s="266"/>
      <c r="B246" s="267" t="s">
        <v>741</v>
      </c>
      <c r="C246" s="267"/>
      <c r="D246" s="267"/>
      <c r="E246" s="267"/>
      <c r="F246" s="267"/>
      <c r="G246" s="266" t="s">
        <v>699</v>
      </c>
      <c r="H246" s="266"/>
      <c r="I246" s="268">
        <f>ROUND(I236*2.7+I237*2.4+I238*1.3,3)</f>
        <v>0</v>
      </c>
      <c r="J246" s="380">
        <v>4</v>
      </c>
      <c r="K246" s="380">
        <f>ROUND(I246*J246,2)</f>
        <v>0</v>
      </c>
    </row>
    <row r="247" spans="1:12" ht="18.75" customHeight="1">
      <c r="A247" s="266"/>
      <c r="B247" s="267" t="s">
        <v>663</v>
      </c>
      <c r="C247" s="267" t="s">
        <v>664</v>
      </c>
      <c r="D247" s="267"/>
      <c r="E247" s="267"/>
      <c r="F247" s="267"/>
      <c r="G247" s="266" t="s">
        <v>656</v>
      </c>
      <c r="H247" s="266"/>
      <c r="I247" s="268">
        <f>ROUND(I236*14.9+I237*8.4+I238*10.2,3)</f>
        <v>0</v>
      </c>
      <c r="J247" s="380">
        <v>2.56</v>
      </c>
      <c r="K247" s="380">
        <f>ROUND(I247*J247,2)</f>
        <v>0</v>
      </c>
    </row>
    <row r="248" spans="1:12" ht="18.75" customHeight="1">
      <c r="A248" s="266" t="s">
        <v>46</v>
      </c>
      <c r="B248" s="267" t="s">
        <v>362</v>
      </c>
      <c r="C248" s="267"/>
      <c r="D248" s="267"/>
      <c r="E248" s="267"/>
      <c r="F248" s="267"/>
      <c r="G248" s="266" t="s">
        <v>695</v>
      </c>
      <c r="H248" s="266"/>
      <c r="I248" s="268">
        <f>0&amp;"%"</f>
        <v>0</v>
      </c>
      <c r="J248" s="380">
        <f>K228+K241+K242+K243+K244</f>
        <v>0</v>
      </c>
      <c r="K248" s="380">
        <f>ROUND(I248*J248,2)</f>
        <v>0</v>
      </c>
    </row>
    <row r="249" spans="1:12" ht="18.75" customHeight="1">
      <c r="A249" s="266" t="s">
        <v>49</v>
      </c>
      <c r="B249" s="267" t="s">
        <v>363</v>
      </c>
      <c r="C249" s="267"/>
      <c r="D249" s="267"/>
      <c r="E249" s="267"/>
      <c r="F249" s="267"/>
      <c r="G249" s="266" t="s">
        <v>695</v>
      </c>
      <c r="H249" s="266"/>
      <c r="I249" s="268">
        <f>9&amp;"%"</f>
        <v>0</v>
      </c>
      <c r="J249" s="380">
        <f>K228+K241+K242+K243+K244+K248</f>
        <v>0</v>
      </c>
      <c r="K249" s="380">
        <f>ROUND(I249*J249,2)</f>
        <v>0</v>
      </c>
    </row>
    <row r="250" spans="1:12" ht="18.75" customHeight="1">
      <c r="A250" s="266"/>
      <c r="B250" s="267" t="s">
        <v>64</v>
      </c>
      <c r="C250" s="267"/>
      <c r="D250" s="267"/>
      <c r="E250" s="267"/>
      <c r="F250" s="267"/>
      <c r="G250" s="266" t="s">
        <v>695</v>
      </c>
      <c r="H250" s="266"/>
      <c r="I250" s="268"/>
      <c r="J250" s="268"/>
      <c r="K250" s="380">
        <f>K228+K241+K242+K243+K244+K248+K249</f>
        <v>0</v>
      </c>
    </row>
    <row r="251" spans="1:12" ht="18.75" customHeight="1">
      <c r="A251" s="266"/>
      <c r="B251" s="267" t="s">
        <v>752</v>
      </c>
      <c r="C251" s="267"/>
      <c r="D251" s="267"/>
      <c r="E251" s="267"/>
      <c r="F251" s="267"/>
      <c r="G251" s="266" t="s">
        <v>695</v>
      </c>
      <c r="H251" s="266"/>
      <c r="I251" s="268"/>
      <c r="J251" s="268"/>
      <c r="K251" s="380">
        <f>ROUND(K250/100,2)</f>
        <v>0</v>
      </c>
    </row>
    <row r="252" spans="1:11" ht="18.75" customHeight="1">
      <c r="A252" s="266"/>
      <c r="B252" s="267"/>
      <c r="C252" s="267"/>
      <c r="D252" s="267"/>
      <c r="E252" s="267"/>
      <c r="F252" s="267"/>
      <c r="G252" s="266"/>
      <c r="H252" s="266"/>
      <c r="I252" s="268"/>
      <c r="J252" s="268"/>
      <c r="K252" s="268"/>
    </row>
    <row r="253" spans="1:11" ht="18.75" customHeight="1">
      <c r="A253" s="266"/>
      <c r="B253" s="267"/>
      <c r="C253" s="267"/>
      <c r="D253" s="267"/>
      <c r="E253" s="267"/>
      <c r="F253" s="267"/>
      <c r="G253" s="266"/>
      <c r="H253" s="266"/>
      <c r="I253" s="268"/>
      <c r="J253" s="268"/>
      <c r="K253" s="268"/>
    </row>
    <row r="254" spans="1:11" ht="18.75" customHeight="1">
      <c r="A254" s="266"/>
      <c r="B254" s="267"/>
      <c r="C254" s="267"/>
      <c r="D254" s="267"/>
      <c r="E254" s="267"/>
      <c r="F254" s="267"/>
      <c r="G254" s="266"/>
      <c r="H254" s="266"/>
      <c r="I254" s="268"/>
      <c r="J254" s="268"/>
      <c r="K254" s="268"/>
    </row>
    <row r="255" spans="1:11" ht="18.75" customHeight="1">
      <c r="A255" s="266"/>
      <c r="B255" s="267"/>
      <c r="C255" s="267"/>
      <c r="D255" s="267"/>
      <c r="E255" s="267"/>
      <c r="F255" s="267"/>
      <c r="G255" s="266"/>
      <c r="H255" s="266"/>
      <c r="I255" s="268"/>
      <c r="J255" s="268"/>
      <c r="K255" s="268"/>
    </row>
    <row r="256" spans="1:11" ht="18.75" customHeight="1">
      <c r="A256" s="266"/>
      <c r="B256" s="267"/>
      <c r="C256" s="267"/>
      <c r="D256" s="267"/>
      <c r="E256" s="267"/>
      <c r="F256" s="267"/>
      <c r="G256" s="266"/>
      <c r="H256" s="266"/>
      <c r="I256" s="268"/>
      <c r="J256" s="268"/>
      <c r="K256" s="268"/>
    </row>
    <row r="257" spans="1:11" ht="18.75" customHeight="1">
      <c r="A257" s="266"/>
      <c r="B257" s="267"/>
      <c r="C257" s="267"/>
      <c r="D257" s="267"/>
      <c r="E257" s="267"/>
      <c r="F257" s="267"/>
      <c r="G257" s="266"/>
      <c r="H257" s="266"/>
      <c r="I257" s="268"/>
      <c r="J257" s="268"/>
      <c r="K257" s="268"/>
    </row>
    <row r="258" spans="1:11" ht="7.5" customHeight="1">
      <c r="A258" s="259"/>
      <c r="B258" s="259"/>
      <c r="C258" s="259"/>
      <c r="D258" s="259"/>
      <c r="E258" s="259"/>
      <c r="F258" s="259"/>
      <c r="G258" s="259"/>
      <c r="H258" s="259"/>
      <c r="I258" s="259"/>
      <c r="J258" s="259"/>
      <c r="K258" s="259"/>
    </row>
    <row r="259" spans="1:11" ht="26.25" customHeight="1">
      <c r="A259" s="260" t="s">
        <v>684</v>
      </c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</row>
    <row r="260" spans="1:11" ht="18.75" customHeight="1">
      <c r="A260" s="261" t="s">
        <v>934</v>
      </c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</row>
    <row r="261" spans="1:11" ht="18.75" customHeight="1">
      <c r="A261" s="262" t="s">
        <v>686</v>
      </c>
      <c r="B261" s="259" t="s">
        <v>55</v>
      </c>
      <c r="C261" s="259"/>
      <c r="D261" s="259"/>
      <c r="E261" s="259"/>
      <c r="F261" s="259"/>
      <c r="G261" s="259"/>
      <c r="H261" s="263" t="s">
        <v>687</v>
      </c>
      <c r="I261" s="263"/>
      <c r="J261" s="263"/>
      <c r="K261" s="263"/>
    </row>
    <row r="262" spans="1:11" ht="27.75" customHeight="1">
      <c r="A262" s="264" t="s">
        <v>688</v>
      </c>
      <c r="B262" s="265" t="s">
        <v>935</v>
      </c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1:12" ht="18.75" customHeight="1">
      <c r="A263" s="266" t="s">
        <v>28</v>
      </c>
      <c r="B263" s="266" t="s">
        <v>690</v>
      </c>
      <c r="C263" s="266" t="s">
        <v>650</v>
      </c>
      <c r="D263" s="266"/>
      <c r="E263" s="266"/>
      <c r="F263" s="266"/>
      <c r="G263" s="266" t="s">
        <v>651</v>
      </c>
      <c r="H263" s="266"/>
      <c r="I263" s="266" t="s">
        <v>691</v>
      </c>
      <c r="J263" s="266" t="s">
        <v>692</v>
      </c>
      <c r="K263" s="266" t="s">
        <v>693</v>
      </c>
    </row>
    <row r="264" spans="1:12" ht="18.75" customHeight="1">
      <c r="A264" s="266" t="s">
        <v>31</v>
      </c>
      <c r="B264" s="267" t="s">
        <v>694</v>
      </c>
      <c r="C264" s="267"/>
      <c r="D264" s="267"/>
      <c r="E264" s="267"/>
      <c r="F264" s="267"/>
      <c r="G264" s="266" t="s">
        <v>695</v>
      </c>
      <c r="H264" s="266"/>
      <c r="I264" s="268"/>
      <c r="J264" s="268"/>
      <c r="K264" s="380">
        <f>K265+K267+K271+K272+K273</f>
        <v>0</v>
      </c>
    </row>
    <row r="265" spans="1:12" ht="18.75" customHeight="1">
      <c r="A265" s="266" t="s">
        <v>76</v>
      </c>
      <c r="B265" s="267" t="s">
        <v>353</v>
      </c>
      <c r="C265" s="267"/>
      <c r="D265" s="267"/>
      <c r="E265" s="267"/>
      <c r="F265" s="267"/>
      <c r="G265" s="266" t="s">
        <v>695</v>
      </c>
      <c r="H265" s="266"/>
      <c r="I265" s="268"/>
      <c r="J265" s="268"/>
      <c r="K265" s="380">
        <f>SUM(K266:K266)</f>
        <v>0</v>
      </c>
    </row>
    <row r="266" spans="1:12" ht="18.75" customHeight="1">
      <c r="A266" s="266"/>
      <c r="B266" s="267" t="s">
        <v>698</v>
      </c>
      <c r="C266" s="267"/>
      <c r="D266" s="267"/>
      <c r="E266" s="267"/>
      <c r="F266" s="267"/>
      <c r="G266" s="266" t="s">
        <v>699</v>
      </c>
      <c r="H266" s="266"/>
      <c r="I266" s="268">
        <f>ROUND(361,3)</f>
        <v>0</v>
      </c>
      <c r="J266" s="380">
        <v>3.46</v>
      </c>
      <c r="K266" s="380">
        <f>ROUND(I266*J266,2)</f>
        <v>0</v>
      </c>
    </row>
    <row r="267" spans="1:12" ht="18.75" customHeight="1">
      <c r="A267" s="266" t="s">
        <v>152</v>
      </c>
      <c r="B267" s="267" t="s">
        <v>354</v>
      </c>
      <c r="C267" s="267"/>
      <c r="D267" s="267"/>
      <c r="E267" s="267"/>
      <c r="F267" s="267"/>
      <c r="G267" s="266" t="s">
        <v>695</v>
      </c>
      <c r="H267" s="266"/>
      <c r="I267" s="268"/>
      <c r="J267" s="268"/>
      <c r="K267" s="380">
        <f>SUM(K268:K270)</f>
        <v>0</v>
      </c>
    </row>
    <row r="268" spans="1:12" ht="18.75" customHeight="1">
      <c r="A268" s="266"/>
      <c r="B268" s="267" t="s">
        <v>661</v>
      </c>
      <c r="C268" s="267"/>
      <c r="D268" s="267"/>
      <c r="E268" s="267"/>
      <c r="F268" s="267"/>
      <c r="G268" s="266" t="s">
        <v>81</v>
      </c>
      <c r="H268" s="266"/>
      <c r="I268" s="268">
        <f>ROUND(89.6,3)</f>
        <v>0</v>
      </c>
      <c r="J268" s="380">
        <v>30</v>
      </c>
      <c r="K268" s="380">
        <f>ROUND(I268*J268,2)</f>
        <v>0</v>
      </c>
    </row>
    <row r="269" spans="1:12" ht="18.75" customHeight="1">
      <c r="A269" s="266"/>
      <c r="B269" s="267" t="s">
        <v>679</v>
      </c>
      <c r="C269" s="267"/>
      <c r="D269" s="267"/>
      <c r="E269" s="267"/>
      <c r="F269" s="267"/>
      <c r="G269" s="266" t="s">
        <v>81</v>
      </c>
      <c r="H269" s="266"/>
      <c r="I269" s="268">
        <f>ROUND(22.4,3)</f>
        <v>0</v>
      </c>
      <c r="J269" s="380">
        <v>30</v>
      </c>
      <c r="K269" s="380">
        <f>ROUND(I269*J269,2)</f>
        <v>0</v>
      </c>
    </row>
    <row r="270" spans="1:12" ht="18.75" customHeight="1">
      <c r="A270" s="266"/>
      <c r="B270" s="267" t="s">
        <v>828</v>
      </c>
      <c r="C270" s="267"/>
      <c r="D270" s="267"/>
      <c r="E270" s="267"/>
      <c r="F270" s="267"/>
      <c r="G270" s="266" t="s">
        <v>334</v>
      </c>
      <c r="H270" s="266"/>
      <c r="I270" s="268">
        <f>ROUND(1,3)</f>
        <v>0</v>
      </c>
      <c r="J270" s="380">
        <f>K268+K269</f>
        <v>0</v>
      </c>
      <c r="K270" s="380">
        <f>ROUND(I270*J270/100,2)</f>
        <v>0</v>
      </c>
    </row>
    <row r="271" spans="1:12" ht="18.75" customHeight="1">
      <c r="A271" s="266" t="s">
        <v>704</v>
      </c>
      <c r="B271" s="267" t="s">
        <v>705</v>
      </c>
      <c r="C271" s="267"/>
      <c r="D271" s="267"/>
      <c r="E271" s="267"/>
      <c r="F271" s="267"/>
      <c r="G271" s="266" t="s">
        <v>695</v>
      </c>
      <c r="H271" s="266"/>
      <c r="I271" s="268"/>
      <c r="J271" s="268"/>
      <c r="K271" s="380">
        <v>0</v>
      </c>
    </row>
    <row r="272" spans="1:12" ht="18.75" customHeight="1">
      <c r="A272" s="266" t="s">
        <v>721</v>
      </c>
      <c r="B272" s="267" t="s">
        <v>722</v>
      </c>
      <c r="C272" s="267"/>
      <c r="D272" s="267"/>
      <c r="E272" s="267"/>
      <c r="F272" s="267"/>
      <c r="G272" s="266" t="s">
        <v>695</v>
      </c>
      <c r="H272" s="266"/>
      <c r="I272" s="268">
        <f>3.5&amp;"%"</f>
        <v>0</v>
      </c>
      <c r="J272" s="380">
        <f>K265+K267+K271</f>
        <v>0</v>
      </c>
      <c r="K272" s="380">
        <f>ROUND(I272*J272,2)</f>
        <v>0</v>
      </c>
    </row>
    <row r="273" spans="1:12" ht="18.75" customHeight="1">
      <c r="A273" s="266" t="s">
        <v>348</v>
      </c>
      <c r="B273" s="267" t="s">
        <v>726</v>
      </c>
      <c r="C273" s="267"/>
      <c r="D273" s="267"/>
      <c r="E273" s="267"/>
      <c r="F273" s="267"/>
      <c r="G273" s="266" t="s">
        <v>695</v>
      </c>
      <c r="H273" s="266"/>
      <c r="I273" s="268">
        <f>6&amp;"%"</f>
        <v>0</v>
      </c>
      <c r="J273" s="380">
        <f>K265+K267+K271</f>
        <v>0</v>
      </c>
      <c r="K273" s="380">
        <f>ROUND(I273*J273,2)</f>
        <v>0</v>
      </c>
    </row>
    <row r="274" spans="1:12" ht="18.75" customHeight="1">
      <c r="A274" s="266" t="s">
        <v>34</v>
      </c>
      <c r="B274" s="267" t="s">
        <v>729</v>
      </c>
      <c r="C274" s="267"/>
      <c r="D274" s="267"/>
      <c r="E274" s="267"/>
      <c r="F274" s="267"/>
      <c r="G274" s="266" t="s">
        <v>695</v>
      </c>
      <c r="H274" s="266"/>
      <c r="I274" s="268">
        <f>5.8&amp;"%"</f>
        <v>0</v>
      </c>
      <c r="J274" s="380">
        <f>K264</f>
        <v>0</v>
      </c>
      <c r="K274" s="380">
        <f>ROUND(I274*J274,2)</f>
        <v>0</v>
      </c>
    </row>
    <row r="275" spans="1:12" ht="18.75" customHeight="1">
      <c r="A275" s="266" t="s">
        <v>37</v>
      </c>
      <c r="B275" s="267" t="s">
        <v>732</v>
      </c>
      <c r="C275" s="267"/>
      <c r="D275" s="267"/>
      <c r="E275" s="267"/>
      <c r="F275" s="267"/>
      <c r="G275" s="266" t="s">
        <v>695</v>
      </c>
      <c r="H275" s="266"/>
      <c r="I275" s="268">
        <f>32.8&amp;"%"</f>
        <v>0</v>
      </c>
      <c r="J275" s="380">
        <f>K265</f>
        <v>0</v>
      </c>
      <c r="K275" s="380">
        <f>ROUND(I275*J275,2)</f>
        <v>0</v>
      </c>
    </row>
    <row r="276" spans="1:12" ht="18.75" customHeight="1">
      <c r="A276" s="266" t="s">
        <v>40</v>
      </c>
      <c r="B276" s="267" t="s">
        <v>736</v>
      </c>
      <c r="C276" s="267"/>
      <c r="D276" s="267"/>
      <c r="E276" s="267"/>
      <c r="F276" s="267"/>
      <c r="G276" s="266" t="s">
        <v>695</v>
      </c>
      <c r="H276" s="266"/>
      <c r="I276" s="268">
        <f>7&amp;"%"</f>
        <v>0</v>
      </c>
      <c r="J276" s="380">
        <f>K264+K274+K275</f>
        <v>0</v>
      </c>
      <c r="K276" s="380">
        <f>ROUND(I276*J276,2)</f>
        <v>0</v>
      </c>
    </row>
    <row r="277" spans="1:12" ht="18.75" customHeight="1">
      <c r="A277" s="266" t="s">
        <v>43</v>
      </c>
      <c r="B277" s="267" t="s">
        <v>361</v>
      </c>
      <c r="C277" s="267"/>
      <c r="D277" s="267"/>
      <c r="E277" s="267"/>
      <c r="F277" s="267"/>
      <c r="G277" s="266" t="s">
        <v>695</v>
      </c>
      <c r="H277" s="266"/>
      <c r="I277" s="268"/>
      <c r="J277" s="268"/>
      <c r="K277" s="380">
        <f>SUM(K278:K280)</f>
        <v>0</v>
      </c>
    </row>
    <row r="278" spans="1:12" ht="18.75" customHeight="1">
      <c r="A278" s="266"/>
      <c r="B278" s="267" t="s">
        <v>698</v>
      </c>
      <c r="C278" s="267"/>
      <c r="D278" s="267"/>
      <c r="E278" s="267"/>
      <c r="F278" s="267"/>
      <c r="G278" s="266" t="s">
        <v>699</v>
      </c>
      <c r="H278" s="266"/>
      <c r="I278" s="268">
        <f>ROUND(I266,3)</f>
        <v>0</v>
      </c>
      <c r="J278" s="380">
        <v>4</v>
      </c>
      <c r="K278" s="380">
        <f>ROUND(I278*J278,2)</f>
        <v>0</v>
      </c>
    </row>
    <row r="279" spans="1:12" ht="18.75" customHeight="1">
      <c r="A279" s="266"/>
      <c r="B279" s="267" t="s">
        <v>661</v>
      </c>
      <c r="C279" s="267"/>
      <c r="D279" s="267"/>
      <c r="E279" s="267"/>
      <c r="F279" s="267"/>
      <c r="G279" s="266" t="s">
        <v>81</v>
      </c>
      <c r="H279" s="266"/>
      <c r="I279" s="268">
        <f>ROUND(I268,3)</f>
        <v>0</v>
      </c>
      <c r="J279" s="380">
        <v>102.44</v>
      </c>
      <c r="K279" s="380">
        <f>ROUND(I279*J279,2)</f>
        <v>0</v>
      </c>
    </row>
    <row r="280" spans="1:12" ht="18.75" customHeight="1">
      <c r="A280" s="266"/>
      <c r="B280" s="267" t="s">
        <v>679</v>
      </c>
      <c r="C280" s="267"/>
      <c r="D280" s="267"/>
      <c r="E280" s="267"/>
      <c r="F280" s="267"/>
      <c r="G280" s="266" t="s">
        <v>81</v>
      </c>
      <c r="H280" s="266"/>
      <c r="I280" s="268">
        <f>ROUND(I269,3)</f>
        <v>0</v>
      </c>
      <c r="J280" s="380">
        <v>161.67</v>
      </c>
      <c r="K280" s="380">
        <f>ROUND(I280*J280,2)</f>
        <v>0</v>
      </c>
    </row>
    <row r="281" spans="1:12" ht="18.75" customHeight="1">
      <c r="A281" s="266" t="s">
        <v>46</v>
      </c>
      <c r="B281" s="267" t="s">
        <v>362</v>
      </c>
      <c r="C281" s="267"/>
      <c r="D281" s="267"/>
      <c r="E281" s="267"/>
      <c r="F281" s="267"/>
      <c r="G281" s="266" t="s">
        <v>695</v>
      </c>
      <c r="H281" s="266"/>
      <c r="I281" s="268">
        <f>0&amp;"%"</f>
        <v>0</v>
      </c>
      <c r="J281" s="380">
        <f>K264+K274+K275+K276+K277</f>
        <v>0</v>
      </c>
      <c r="K281" s="380">
        <f>ROUND(I281*J281,2)</f>
        <v>0</v>
      </c>
    </row>
    <row r="282" spans="1:12" ht="18.75" customHeight="1">
      <c r="A282" s="266" t="s">
        <v>49</v>
      </c>
      <c r="B282" s="267" t="s">
        <v>363</v>
      </c>
      <c r="C282" s="267"/>
      <c r="D282" s="267"/>
      <c r="E282" s="267"/>
      <c r="F282" s="267"/>
      <c r="G282" s="266" t="s">
        <v>695</v>
      </c>
      <c r="H282" s="266"/>
      <c r="I282" s="268">
        <f>9&amp;"%"</f>
        <v>0</v>
      </c>
      <c r="J282" s="380">
        <f>K264+K274+K275+K276+K277+K281</f>
        <v>0</v>
      </c>
      <c r="K282" s="380">
        <f>ROUND(I282*J282,2)</f>
        <v>0</v>
      </c>
    </row>
    <row r="283" spans="1:12" ht="18.75" customHeight="1">
      <c r="A283" s="266"/>
      <c r="B283" s="267" t="s">
        <v>64</v>
      </c>
      <c r="C283" s="267"/>
      <c r="D283" s="267"/>
      <c r="E283" s="267"/>
      <c r="F283" s="267"/>
      <c r="G283" s="266" t="s">
        <v>695</v>
      </c>
      <c r="H283" s="266"/>
      <c r="I283" s="268"/>
      <c r="J283" s="268"/>
      <c r="K283" s="380">
        <f>K264+K274+K275+K276+K277+K281+K282</f>
        <v>0</v>
      </c>
    </row>
    <row r="284" spans="1:12" ht="18.75" customHeight="1">
      <c r="A284" s="266"/>
      <c r="B284" s="267" t="s">
        <v>752</v>
      </c>
      <c r="C284" s="267"/>
      <c r="D284" s="267"/>
      <c r="E284" s="267"/>
      <c r="F284" s="267"/>
      <c r="G284" s="266" t="s">
        <v>695</v>
      </c>
      <c r="H284" s="266"/>
      <c r="I284" s="268"/>
      <c r="J284" s="268"/>
      <c r="K284" s="380">
        <f>ROUND(K283/100,2)</f>
        <v>0</v>
      </c>
    </row>
    <row r="285" spans="1:11" ht="18.75" customHeight="1">
      <c r="A285" s="266"/>
      <c r="B285" s="267"/>
      <c r="C285" s="267"/>
      <c r="D285" s="267"/>
      <c r="E285" s="267"/>
      <c r="F285" s="267"/>
      <c r="G285" s="266"/>
      <c r="H285" s="266"/>
      <c r="I285" s="268"/>
      <c r="J285" s="268"/>
      <c r="K285" s="268"/>
    </row>
    <row r="286" spans="1:11" ht="18.75" customHeight="1">
      <c r="A286" s="266"/>
      <c r="B286" s="267"/>
      <c r="C286" s="267"/>
      <c r="D286" s="267"/>
      <c r="E286" s="267"/>
      <c r="F286" s="267"/>
      <c r="G286" s="266"/>
      <c r="H286" s="266"/>
      <c r="I286" s="268"/>
      <c r="J286" s="268"/>
      <c r="K286" s="268"/>
    </row>
    <row r="287" spans="1:11" ht="18.75" customHeight="1">
      <c r="A287" s="266"/>
      <c r="B287" s="267"/>
      <c r="C287" s="267"/>
      <c r="D287" s="267"/>
      <c r="E287" s="267"/>
      <c r="F287" s="267"/>
      <c r="G287" s="266"/>
      <c r="H287" s="266"/>
      <c r="I287" s="268"/>
      <c r="J287" s="268"/>
      <c r="K287" s="268"/>
    </row>
    <row r="288" spans="1:11" ht="18.75" customHeight="1">
      <c r="A288" s="266"/>
      <c r="B288" s="267"/>
      <c r="C288" s="267"/>
      <c r="D288" s="267"/>
      <c r="E288" s="267"/>
      <c r="F288" s="267"/>
      <c r="G288" s="266"/>
      <c r="H288" s="266"/>
      <c r="I288" s="268"/>
      <c r="J288" s="268"/>
      <c r="K288" s="268"/>
    </row>
    <row r="289" spans="1:11" ht="18.75" customHeight="1">
      <c r="A289" s="266"/>
      <c r="B289" s="267"/>
      <c r="C289" s="267"/>
      <c r="D289" s="267"/>
      <c r="E289" s="267"/>
      <c r="F289" s="267"/>
      <c r="G289" s="266"/>
      <c r="H289" s="266"/>
      <c r="I289" s="268"/>
      <c r="J289" s="268"/>
      <c r="K289" s="268"/>
    </row>
    <row r="290" spans="1:11" ht="18.75" customHeight="1">
      <c r="A290" s="266"/>
      <c r="B290" s="267"/>
      <c r="C290" s="267"/>
      <c r="D290" s="267"/>
      <c r="E290" s="267"/>
      <c r="F290" s="267"/>
      <c r="G290" s="266"/>
      <c r="H290" s="266"/>
      <c r="I290" s="268"/>
      <c r="J290" s="268"/>
      <c r="K290" s="268"/>
    </row>
    <row r="291" spans="1:11" ht="18.75" customHeight="1">
      <c r="A291" s="266"/>
      <c r="B291" s="267"/>
      <c r="C291" s="267"/>
      <c r="D291" s="267"/>
      <c r="E291" s="267"/>
      <c r="F291" s="267"/>
      <c r="G291" s="266"/>
      <c r="H291" s="266"/>
      <c r="I291" s="268"/>
      <c r="J291" s="268"/>
      <c r="K291" s="268"/>
    </row>
    <row r="292" spans="1:11" ht="18.75" customHeight="1">
      <c r="A292" s="266"/>
      <c r="B292" s="267"/>
      <c r="C292" s="267"/>
      <c r="D292" s="267"/>
      <c r="E292" s="267"/>
      <c r="F292" s="267"/>
      <c r="G292" s="266"/>
      <c r="H292" s="266"/>
      <c r="I292" s="268"/>
      <c r="J292" s="268"/>
      <c r="K292" s="268"/>
    </row>
    <row r="293" spans="1:11" ht="18.75" customHeight="1">
      <c r="A293" s="266"/>
      <c r="B293" s="267"/>
      <c r="C293" s="267"/>
      <c r="D293" s="267"/>
      <c r="E293" s="267"/>
      <c r="F293" s="267"/>
      <c r="G293" s="266"/>
      <c r="H293" s="266"/>
      <c r="I293" s="268"/>
      <c r="J293" s="268"/>
      <c r="K293" s="268"/>
    </row>
    <row r="294" spans="1:11" ht="18.75" customHeight="1">
      <c r="A294" s="266"/>
      <c r="B294" s="267"/>
      <c r="C294" s="267"/>
      <c r="D294" s="267"/>
      <c r="E294" s="267"/>
      <c r="F294" s="267"/>
      <c r="G294" s="266"/>
      <c r="H294" s="266"/>
      <c r="I294" s="268"/>
      <c r="J294" s="268"/>
      <c r="K294" s="268"/>
    </row>
    <row r="295" spans="1:11" ht="7.5" customHeight="1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</row>
    <row r="296" spans="1:11" ht="26.25" customHeight="1">
      <c r="A296" s="260" t="s">
        <v>684</v>
      </c>
      <c r="B296" s="260"/>
      <c r="C296" s="260"/>
      <c r="D296" s="260"/>
      <c r="E296" s="260"/>
      <c r="F296" s="260"/>
      <c r="G296" s="260"/>
      <c r="H296" s="260"/>
      <c r="I296" s="260"/>
      <c r="J296" s="260"/>
      <c r="K296" s="260"/>
    </row>
    <row r="297" spans="1:11" ht="18.75" customHeight="1">
      <c r="A297" s="261" t="s">
        <v>962</v>
      </c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</row>
    <row r="298" spans="1:11" ht="18.75" customHeight="1">
      <c r="A298" s="262" t="s">
        <v>686</v>
      </c>
      <c r="B298" s="259" t="s">
        <v>58</v>
      </c>
      <c r="C298" s="259"/>
      <c r="D298" s="259"/>
      <c r="E298" s="259"/>
      <c r="F298" s="259"/>
      <c r="G298" s="259"/>
      <c r="H298" s="263" t="s">
        <v>687</v>
      </c>
      <c r="I298" s="263"/>
      <c r="J298" s="263"/>
      <c r="K298" s="263"/>
    </row>
    <row r="299" spans="1:11" ht="27.75" customHeight="1">
      <c r="A299" s="264" t="s">
        <v>688</v>
      </c>
      <c r="B299" s="265" t="s">
        <v>963</v>
      </c>
      <c r="C299" s="265"/>
      <c r="D299" s="265"/>
      <c r="E299" s="265"/>
      <c r="F299" s="265"/>
      <c r="G299" s="265"/>
      <c r="H299" s="265"/>
      <c r="I299" s="265"/>
      <c r="J299" s="265"/>
      <c r="K299" s="265"/>
    </row>
    <row r="300" spans="1:12" ht="18.75" customHeight="1">
      <c r="A300" s="266" t="s">
        <v>28</v>
      </c>
      <c r="B300" s="266" t="s">
        <v>690</v>
      </c>
      <c r="C300" s="266" t="s">
        <v>650</v>
      </c>
      <c r="D300" s="266"/>
      <c r="E300" s="266"/>
      <c r="F300" s="266"/>
      <c r="G300" s="266" t="s">
        <v>651</v>
      </c>
      <c r="H300" s="266"/>
      <c r="I300" s="266" t="s">
        <v>691</v>
      </c>
      <c r="J300" s="266" t="s">
        <v>692</v>
      </c>
      <c r="K300" s="266" t="s">
        <v>693</v>
      </c>
    </row>
    <row r="301" spans="1:12" ht="18.75" customHeight="1">
      <c r="A301" s="266" t="s">
        <v>31</v>
      </c>
      <c r="B301" s="267" t="s">
        <v>694</v>
      </c>
      <c r="C301" s="267"/>
      <c r="D301" s="267"/>
      <c r="E301" s="267"/>
      <c r="F301" s="267"/>
      <c r="G301" s="266" t="s">
        <v>695</v>
      </c>
      <c r="H301" s="266"/>
      <c r="I301" s="268"/>
      <c r="J301" s="268"/>
      <c r="K301" s="380">
        <f>K302+K304+K307+K308+K309</f>
        <v>0</v>
      </c>
    </row>
    <row r="302" spans="1:12" ht="18.75" customHeight="1">
      <c r="A302" s="266" t="s">
        <v>76</v>
      </c>
      <c r="B302" s="267" t="s">
        <v>353</v>
      </c>
      <c r="C302" s="267"/>
      <c r="D302" s="267"/>
      <c r="E302" s="267"/>
      <c r="F302" s="267"/>
      <c r="G302" s="266" t="s">
        <v>695</v>
      </c>
      <c r="H302" s="266"/>
      <c r="I302" s="268"/>
      <c r="J302" s="268"/>
      <c r="K302" s="380">
        <f>SUM(K303:K303)</f>
        <v>0</v>
      </c>
    </row>
    <row r="303" spans="1:12" ht="18.75" customHeight="1">
      <c r="A303" s="266"/>
      <c r="B303" s="267" t="s">
        <v>698</v>
      </c>
      <c r="C303" s="267"/>
      <c r="D303" s="267"/>
      <c r="E303" s="267"/>
      <c r="F303" s="267"/>
      <c r="G303" s="266" t="s">
        <v>699</v>
      </c>
      <c r="H303" s="266"/>
      <c r="I303" s="268">
        <f>ROUND(361,3)</f>
        <v>0</v>
      </c>
      <c r="J303" s="380">
        <v>3.46</v>
      </c>
      <c r="K303" s="380">
        <f>ROUND(I303*J303,2)</f>
        <v>0</v>
      </c>
    </row>
    <row r="304" spans="1:12" ht="18.75" customHeight="1">
      <c r="A304" s="266" t="s">
        <v>152</v>
      </c>
      <c r="B304" s="267" t="s">
        <v>354</v>
      </c>
      <c r="C304" s="267"/>
      <c r="D304" s="267"/>
      <c r="E304" s="267"/>
      <c r="F304" s="267"/>
      <c r="G304" s="266" t="s">
        <v>695</v>
      </c>
      <c r="H304" s="266"/>
      <c r="I304" s="268"/>
      <c r="J304" s="268"/>
      <c r="K304" s="380">
        <f>SUM(K305:K306)</f>
        <v>0</v>
      </c>
    </row>
    <row r="305" spans="1:12" ht="18.75" customHeight="1">
      <c r="A305" s="266"/>
      <c r="B305" s="267" t="s">
        <v>661</v>
      </c>
      <c r="C305" s="267"/>
      <c r="D305" s="267"/>
      <c r="E305" s="267"/>
      <c r="F305" s="267"/>
      <c r="G305" s="266" t="s">
        <v>81</v>
      </c>
      <c r="H305" s="266"/>
      <c r="I305" s="268">
        <f>ROUND(102,3)</f>
        <v>0</v>
      </c>
      <c r="J305" s="380">
        <v>30</v>
      </c>
      <c r="K305" s="380">
        <f>ROUND(I305*J305,2)</f>
        <v>0</v>
      </c>
    </row>
    <row r="306" spans="1:12" ht="18.75" customHeight="1">
      <c r="A306" s="266"/>
      <c r="B306" s="267" t="s">
        <v>828</v>
      </c>
      <c r="C306" s="267"/>
      <c r="D306" s="267"/>
      <c r="E306" s="267"/>
      <c r="F306" s="267"/>
      <c r="G306" s="266" t="s">
        <v>334</v>
      </c>
      <c r="H306" s="266"/>
      <c r="I306" s="268">
        <f>ROUND(1,3)</f>
        <v>0</v>
      </c>
      <c r="J306" s="380">
        <f>K305</f>
        <v>0</v>
      </c>
      <c r="K306" s="380">
        <f>ROUND(I306*J306/100,2)</f>
        <v>0</v>
      </c>
    </row>
    <row r="307" spans="1:12" ht="18.75" customHeight="1">
      <c r="A307" s="266" t="s">
        <v>704</v>
      </c>
      <c r="B307" s="267" t="s">
        <v>705</v>
      </c>
      <c r="C307" s="267"/>
      <c r="D307" s="267"/>
      <c r="E307" s="267"/>
      <c r="F307" s="267"/>
      <c r="G307" s="266" t="s">
        <v>695</v>
      </c>
      <c r="H307" s="266"/>
      <c r="I307" s="268"/>
      <c r="J307" s="268"/>
      <c r="K307" s="380">
        <v>0</v>
      </c>
    </row>
    <row r="308" spans="1:12" ht="18.75" customHeight="1">
      <c r="A308" s="266" t="s">
        <v>721</v>
      </c>
      <c r="B308" s="267" t="s">
        <v>722</v>
      </c>
      <c r="C308" s="267"/>
      <c r="D308" s="267"/>
      <c r="E308" s="267"/>
      <c r="F308" s="267"/>
      <c r="G308" s="266" t="s">
        <v>695</v>
      </c>
      <c r="H308" s="266"/>
      <c r="I308" s="268">
        <f>3.5&amp;"%"</f>
        <v>0</v>
      </c>
      <c r="J308" s="380">
        <f>K302+K304+K307</f>
        <v>0</v>
      </c>
      <c r="K308" s="380">
        <f>ROUND(I308*J308,2)</f>
        <v>0</v>
      </c>
    </row>
    <row r="309" spans="1:12" ht="18.75" customHeight="1">
      <c r="A309" s="266" t="s">
        <v>348</v>
      </c>
      <c r="B309" s="267" t="s">
        <v>726</v>
      </c>
      <c r="C309" s="267"/>
      <c r="D309" s="267"/>
      <c r="E309" s="267"/>
      <c r="F309" s="267"/>
      <c r="G309" s="266" t="s">
        <v>695</v>
      </c>
      <c r="H309" s="266"/>
      <c r="I309" s="268">
        <f>6&amp;"%"</f>
        <v>0</v>
      </c>
      <c r="J309" s="380">
        <f>K302+K304+K307</f>
        <v>0</v>
      </c>
      <c r="K309" s="380">
        <f>ROUND(I309*J309,2)</f>
        <v>0</v>
      </c>
    </row>
    <row r="310" spans="1:12" ht="18.75" customHeight="1">
      <c r="A310" s="266" t="s">
        <v>34</v>
      </c>
      <c r="B310" s="267" t="s">
        <v>729</v>
      </c>
      <c r="C310" s="267"/>
      <c r="D310" s="267"/>
      <c r="E310" s="267"/>
      <c r="F310" s="267"/>
      <c r="G310" s="266" t="s">
        <v>695</v>
      </c>
      <c r="H310" s="266"/>
      <c r="I310" s="268">
        <f>5.8&amp;"%"</f>
        <v>0</v>
      </c>
      <c r="J310" s="380">
        <f>K301</f>
        <v>0</v>
      </c>
      <c r="K310" s="380">
        <f>ROUND(I310*J310,2)</f>
        <v>0</v>
      </c>
    </row>
    <row r="311" spans="1:12" ht="18.75" customHeight="1">
      <c r="A311" s="266" t="s">
        <v>37</v>
      </c>
      <c r="B311" s="267" t="s">
        <v>732</v>
      </c>
      <c r="C311" s="267"/>
      <c r="D311" s="267"/>
      <c r="E311" s="267"/>
      <c r="F311" s="267"/>
      <c r="G311" s="266" t="s">
        <v>695</v>
      </c>
      <c r="H311" s="266"/>
      <c r="I311" s="268">
        <f>32.8&amp;"%"</f>
        <v>0</v>
      </c>
      <c r="J311" s="380">
        <f>K302</f>
        <v>0</v>
      </c>
      <c r="K311" s="380">
        <f>ROUND(I311*J311,2)</f>
        <v>0</v>
      </c>
    </row>
    <row r="312" spans="1:12" ht="18.75" customHeight="1">
      <c r="A312" s="266" t="s">
        <v>40</v>
      </c>
      <c r="B312" s="267" t="s">
        <v>736</v>
      </c>
      <c r="C312" s="267"/>
      <c r="D312" s="267"/>
      <c r="E312" s="267"/>
      <c r="F312" s="267"/>
      <c r="G312" s="266" t="s">
        <v>695</v>
      </c>
      <c r="H312" s="266"/>
      <c r="I312" s="268">
        <f>7&amp;"%"</f>
        <v>0</v>
      </c>
      <c r="J312" s="380">
        <f>K301+K310+K311</f>
        <v>0</v>
      </c>
      <c r="K312" s="380">
        <f>ROUND(I312*J312,2)</f>
        <v>0</v>
      </c>
    </row>
    <row r="313" spans="1:12" ht="18.75" customHeight="1">
      <c r="A313" s="266" t="s">
        <v>43</v>
      </c>
      <c r="B313" s="267" t="s">
        <v>361</v>
      </c>
      <c r="C313" s="267"/>
      <c r="D313" s="267"/>
      <c r="E313" s="267"/>
      <c r="F313" s="267"/>
      <c r="G313" s="266" t="s">
        <v>695</v>
      </c>
      <c r="H313" s="266"/>
      <c r="I313" s="268"/>
      <c r="J313" s="268"/>
      <c r="K313" s="380">
        <f>SUM(K314:K315)</f>
        <v>0</v>
      </c>
    </row>
    <row r="314" spans="1:12" ht="18.75" customHeight="1">
      <c r="A314" s="266"/>
      <c r="B314" s="267" t="s">
        <v>698</v>
      </c>
      <c r="C314" s="267"/>
      <c r="D314" s="267"/>
      <c r="E314" s="267"/>
      <c r="F314" s="267"/>
      <c r="G314" s="266" t="s">
        <v>699</v>
      </c>
      <c r="H314" s="266"/>
      <c r="I314" s="268">
        <f>ROUND(I303,3)</f>
        <v>0</v>
      </c>
      <c r="J314" s="380">
        <v>4</v>
      </c>
      <c r="K314" s="380">
        <f>ROUND(I314*J314,2)</f>
        <v>0</v>
      </c>
    </row>
    <row r="315" spans="1:12" ht="18.75" customHeight="1">
      <c r="A315" s="266"/>
      <c r="B315" s="267" t="s">
        <v>661</v>
      </c>
      <c r="C315" s="267"/>
      <c r="D315" s="267"/>
      <c r="E315" s="267"/>
      <c r="F315" s="267"/>
      <c r="G315" s="266" t="s">
        <v>81</v>
      </c>
      <c r="H315" s="266"/>
      <c r="I315" s="268">
        <f>ROUND(I305,3)</f>
        <v>0</v>
      </c>
      <c r="J315" s="380">
        <v>102.44</v>
      </c>
      <c r="K315" s="380">
        <f>ROUND(I315*J315,2)</f>
        <v>0</v>
      </c>
    </row>
    <row r="316" spans="1:12" ht="18.75" customHeight="1">
      <c r="A316" s="266" t="s">
        <v>46</v>
      </c>
      <c r="B316" s="267" t="s">
        <v>362</v>
      </c>
      <c r="C316" s="267"/>
      <c r="D316" s="267"/>
      <c r="E316" s="267"/>
      <c r="F316" s="267"/>
      <c r="G316" s="266" t="s">
        <v>695</v>
      </c>
      <c r="H316" s="266"/>
      <c r="I316" s="268">
        <f>0&amp;"%"</f>
        <v>0</v>
      </c>
      <c r="J316" s="380">
        <f>K301+K310+K311+K312+K313</f>
        <v>0</v>
      </c>
      <c r="K316" s="380">
        <f>ROUND(I316*J316,2)</f>
        <v>0</v>
      </c>
    </row>
    <row r="317" spans="1:12" ht="18.75" customHeight="1">
      <c r="A317" s="266" t="s">
        <v>49</v>
      </c>
      <c r="B317" s="267" t="s">
        <v>363</v>
      </c>
      <c r="C317" s="267"/>
      <c r="D317" s="267"/>
      <c r="E317" s="267"/>
      <c r="F317" s="267"/>
      <c r="G317" s="266" t="s">
        <v>695</v>
      </c>
      <c r="H317" s="266"/>
      <c r="I317" s="268">
        <f>9&amp;"%"</f>
        <v>0</v>
      </c>
      <c r="J317" s="380">
        <f>K301+K310+K311+K312+K313+K316</f>
        <v>0</v>
      </c>
      <c r="K317" s="380">
        <f>ROUND(I317*J317,2)</f>
        <v>0</v>
      </c>
    </row>
    <row r="318" spans="1:12" ht="18.75" customHeight="1">
      <c r="A318" s="266"/>
      <c r="B318" s="267" t="s">
        <v>64</v>
      </c>
      <c r="C318" s="267"/>
      <c r="D318" s="267"/>
      <c r="E318" s="267"/>
      <c r="F318" s="267"/>
      <c r="G318" s="266" t="s">
        <v>695</v>
      </c>
      <c r="H318" s="266"/>
      <c r="I318" s="268"/>
      <c r="J318" s="268"/>
      <c r="K318" s="380">
        <f>K301+K310+K311+K312+K313+K316+K317</f>
        <v>0</v>
      </c>
    </row>
    <row r="319" spans="1:12" ht="18.75" customHeight="1">
      <c r="A319" s="266"/>
      <c r="B319" s="267" t="s">
        <v>752</v>
      </c>
      <c r="C319" s="267"/>
      <c r="D319" s="267"/>
      <c r="E319" s="267"/>
      <c r="F319" s="267"/>
      <c r="G319" s="266" t="s">
        <v>695</v>
      </c>
      <c r="H319" s="266"/>
      <c r="I319" s="268"/>
      <c r="J319" s="268"/>
      <c r="K319" s="380">
        <f>ROUND(K318/100,2)</f>
        <v>0</v>
      </c>
    </row>
    <row r="320" spans="1:11" ht="18.75" customHeight="1">
      <c r="A320" s="266"/>
      <c r="B320" s="267"/>
      <c r="C320" s="267"/>
      <c r="D320" s="267"/>
      <c r="E320" s="267"/>
      <c r="F320" s="267"/>
      <c r="G320" s="266"/>
      <c r="H320" s="266"/>
      <c r="I320" s="268"/>
      <c r="J320" s="268"/>
      <c r="K320" s="268"/>
    </row>
    <row r="321" spans="1:11" ht="18.75" customHeight="1">
      <c r="A321" s="266"/>
      <c r="B321" s="267"/>
      <c r="C321" s="267"/>
      <c r="D321" s="267"/>
      <c r="E321" s="267"/>
      <c r="F321" s="267"/>
      <c r="G321" s="266"/>
      <c r="H321" s="266"/>
      <c r="I321" s="268"/>
      <c r="J321" s="268"/>
      <c r="K321" s="268"/>
    </row>
    <row r="322" spans="1:11" ht="18.75" customHeight="1">
      <c r="A322" s="266"/>
      <c r="B322" s="267"/>
      <c r="C322" s="267"/>
      <c r="D322" s="267"/>
      <c r="E322" s="267"/>
      <c r="F322" s="267"/>
      <c r="G322" s="266"/>
      <c r="H322" s="266"/>
      <c r="I322" s="268"/>
      <c r="J322" s="268"/>
      <c r="K322" s="268"/>
    </row>
    <row r="323" spans="1:11" ht="18.75" customHeight="1">
      <c r="A323" s="266"/>
      <c r="B323" s="267"/>
      <c r="C323" s="267"/>
      <c r="D323" s="267"/>
      <c r="E323" s="267"/>
      <c r="F323" s="267"/>
      <c r="G323" s="266"/>
      <c r="H323" s="266"/>
      <c r="I323" s="268"/>
      <c r="J323" s="268"/>
      <c r="K323" s="268"/>
    </row>
    <row r="324" spans="1:11" ht="18.75" customHeight="1">
      <c r="A324" s="266"/>
      <c r="B324" s="267"/>
      <c r="C324" s="267"/>
      <c r="D324" s="267"/>
      <c r="E324" s="267"/>
      <c r="F324" s="267"/>
      <c r="G324" s="266"/>
      <c r="H324" s="266"/>
      <c r="I324" s="268"/>
      <c r="J324" s="268"/>
      <c r="K324" s="268"/>
    </row>
    <row r="325" spans="1:11" ht="18.75" customHeight="1">
      <c r="A325" s="266"/>
      <c r="B325" s="267"/>
      <c r="C325" s="267"/>
      <c r="D325" s="267"/>
      <c r="E325" s="267"/>
      <c r="F325" s="267"/>
      <c r="G325" s="266"/>
      <c r="H325" s="266"/>
      <c r="I325" s="268"/>
      <c r="J325" s="268"/>
      <c r="K325" s="268"/>
    </row>
    <row r="326" spans="1:11" ht="18.75" customHeight="1">
      <c r="A326" s="266"/>
      <c r="B326" s="267"/>
      <c r="C326" s="267"/>
      <c r="D326" s="267"/>
      <c r="E326" s="267"/>
      <c r="F326" s="267"/>
      <c r="G326" s="266"/>
      <c r="H326" s="266"/>
      <c r="I326" s="268"/>
      <c r="J326" s="268"/>
      <c r="K326" s="268"/>
    </row>
    <row r="327" spans="1:11" ht="18.75" customHeight="1">
      <c r="A327" s="266"/>
      <c r="B327" s="267"/>
      <c r="C327" s="267"/>
      <c r="D327" s="267"/>
      <c r="E327" s="267"/>
      <c r="F327" s="267"/>
      <c r="G327" s="266"/>
      <c r="H327" s="266"/>
      <c r="I327" s="268"/>
      <c r="J327" s="268"/>
      <c r="K327" s="268"/>
    </row>
    <row r="328" spans="1:11" ht="18.75" customHeight="1">
      <c r="A328" s="266"/>
      <c r="B328" s="267"/>
      <c r="C328" s="267"/>
      <c r="D328" s="267"/>
      <c r="E328" s="267"/>
      <c r="F328" s="267"/>
      <c r="G328" s="266"/>
      <c r="H328" s="266"/>
      <c r="I328" s="268"/>
      <c r="J328" s="268"/>
      <c r="K328" s="268"/>
    </row>
    <row r="329" spans="1:11" ht="18.75" customHeight="1">
      <c r="A329" s="266"/>
      <c r="B329" s="267"/>
      <c r="C329" s="267"/>
      <c r="D329" s="267"/>
      <c r="E329" s="267"/>
      <c r="F329" s="267"/>
      <c r="G329" s="266"/>
      <c r="H329" s="266"/>
      <c r="I329" s="268"/>
      <c r="J329" s="268"/>
      <c r="K329" s="268"/>
    </row>
    <row r="330" spans="1:11" ht="18.75" customHeight="1">
      <c r="A330" s="266"/>
      <c r="B330" s="267"/>
      <c r="C330" s="267"/>
      <c r="D330" s="267"/>
      <c r="E330" s="267"/>
      <c r="F330" s="267"/>
      <c r="G330" s="266"/>
      <c r="H330" s="266"/>
      <c r="I330" s="268"/>
      <c r="J330" s="268"/>
      <c r="K330" s="268"/>
    </row>
    <row r="331" spans="1:11" ht="18.75" customHeight="1">
      <c r="A331" s="266"/>
      <c r="B331" s="267"/>
      <c r="C331" s="267"/>
      <c r="D331" s="267"/>
      <c r="E331" s="267"/>
      <c r="F331" s="267"/>
      <c r="G331" s="266"/>
      <c r="H331" s="266"/>
      <c r="I331" s="268"/>
      <c r="J331" s="268"/>
      <c r="K331" s="268"/>
    </row>
    <row r="332" spans="1:11" ht="7.5" customHeight="1">
      <c r="A332" s="259"/>
      <c r="B332" s="259"/>
      <c r="C332" s="259"/>
      <c r="D332" s="259"/>
      <c r="E332" s="259"/>
      <c r="F332" s="259"/>
      <c r="G332" s="259"/>
      <c r="H332" s="259"/>
      <c r="I332" s="259"/>
      <c r="J332" s="259"/>
      <c r="K332" s="259"/>
    </row>
    <row r="333" spans="1:11" ht="26.25" customHeight="1">
      <c r="A333" s="260" t="s">
        <v>684</v>
      </c>
      <c r="B333" s="260"/>
      <c r="C333" s="260"/>
      <c r="D333" s="260"/>
      <c r="E333" s="260"/>
      <c r="F333" s="260"/>
      <c r="G333" s="260"/>
      <c r="H333" s="260"/>
      <c r="I333" s="260"/>
      <c r="J333" s="260"/>
      <c r="K333" s="260"/>
    </row>
    <row r="334" spans="1:11" ht="18.75" customHeight="1">
      <c r="A334" s="261" t="s">
        <v>980</v>
      </c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</row>
    <row r="335" spans="1:11" ht="18.75" customHeight="1">
      <c r="A335" s="262" t="s">
        <v>686</v>
      </c>
      <c r="B335" s="259" t="s">
        <v>61</v>
      </c>
      <c r="C335" s="259"/>
      <c r="D335" s="259"/>
      <c r="E335" s="259"/>
      <c r="F335" s="259"/>
      <c r="G335" s="259"/>
      <c r="H335" s="263" t="s">
        <v>754</v>
      </c>
      <c r="I335" s="263"/>
      <c r="J335" s="263"/>
      <c r="K335" s="263"/>
    </row>
    <row r="336" spans="1:11" ht="27.75" customHeight="1">
      <c r="A336" s="264" t="s">
        <v>688</v>
      </c>
      <c r="B336" s="265" t="s">
        <v>981</v>
      </c>
      <c r="C336" s="265"/>
      <c r="D336" s="265"/>
      <c r="E336" s="265"/>
      <c r="F336" s="265"/>
      <c r="G336" s="265"/>
      <c r="H336" s="265"/>
      <c r="I336" s="265"/>
      <c r="J336" s="265"/>
      <c r="K336" s="265"/>
    </row>
    <row r="337" spans="1:12" ht="18.75" customHeight="1">
      <c r="A337" s="266" t="s">
        <v>28</v>
      </c>
      <c r="B337" s="266" t="s">
        <v>690</v>
      </c>
      <c r="C337" s="266" t="s">
        <v>650</v>
      </c>
      <c r="D337" s="266"/>
      <c r="E337" s="266"/>
      <c r="F337" s="266"/>
      <c r="G337" s="266" t="s">
        <v>651</v>
      </c>
      <c r="H337" s="266"/>
      <c r="I337" s="266" t="s">
        <v>691</v>
      </c>
      <c r="J337" s="266" t="s">
        <v>692</v>
      </c>
      <c r="K337" s="266" t="s">
        <v>693</v>
      </c>
    </row>
    <row r="338" spans="1:12" ht="18.75" customHeight="1">
      <c r="A338" s="266" t="s">
        <v>31</v>
      </c>
      <c r="B338" s="267" t="s">
        <v>694</v>
      </c>
      <c r="C338" s="267"/>
      <c r="D338" s="267"/>
      <c r="E338" s="267"/>
      <c r="F338" s="267"/>
      <c r="G338" s="266" t="s">
        <v>695</v>
      </c>
      <c r="H338" s="266"/>
      <c r="I338" s="268"/>
      <c r="J338" s="268"/>
      <c r="K338" s="380">
        <f>K339+K341+K346+K348+K349</f>
        <v>0</v>
      </c>
    </row>
    <row r="339" spans="1:12" ht="18.75" customHeight="1">
      <c r="A339" s="266" t="s">
        <v>76</v>
      </c>
      <c r="B339" s="267" t="s">
        <v>353</v>
      </c>
      <c r="C339" s="267"/>
      <c r="D339" s="267"/>
      <c r="E339" s="267"/>
      <c r="F339" s="267"/>
      <c r="G339" s="266" t="s">
        <v>695</v>
      </c>
      <c r="H339" s="266"/>
      <c r="I339" s="268"/>
      <c r="J339" s="268"/>
      <c r="K339" s="380">
        <f>SUM(K340:K340)</f>
        <v>0</v>
      </c>
    </row>
    <row r="340" spans="1:12" ht="18.75" customHeight="1">
      <c r="A340" s="266"/>
      <c r="B340" s="267" t="s">
        <v>698</v>
      </c>
      <c r="C340" s="267"/>
      <c r="D340" s="267"/>
      <c r="E340" s="267"/>
      <c r="F340" s="267"/>
      <c r="G340" s="266" t="s">
        <v>699</v>
      </c>
      <c r="H340" s="266"/>
      <c r="I340" s="268">
        <f>ROUND(215.3,3)</f>
        <v>0</v>
      </c>
      <c r="J340" s="380">
        <v>3.46</v>
      </c>
      <c r="K340" s="380">
        <f>ROUND(I340*J340,2)</f>
        <v>0</v>
      </c>
    </row>
    <row r="341" spans="1:12" ht="18.75" customHeight="1">
      <c r="A341" s="266" t="s">
        <v>152</v>
      </c>
      <c r="B341" s="267" t="s">
        <v>354</v>
      </c>
      <c r="C341" s="267"/>
      <c r="D341" s="267"/>
      <c r="E341" s="267"/>
      <c r="F341" s="267"/>
      <c r="G341" s="266" t="s">
        <v>695</v>
      </c>
      <c r="H341" s="266"/>
      <c r="I341" s="268"/>
      <c r="J341" s="268"/>
      <c r="K341" s="380">
        <f>SUM(K342:K345)</f>
        <v>0</v>
      </c>
    </row>
    <row r="342" spans="1:12" ht="18.75" customHeight="1">
      <c r="A342" s="266"/>
      <c r="B342" s="267" t="s">
        <v>669</v>
      </c>
      <c r="C342" s="267"/>
      <c r="D342" s="267"/>
      <c r="E342" s="267"/>
      <c r="F342" s="267"/>
      <c r="G342" s="266" t="s">
        <v>81</v>
      </c>
      <c r="H342" s="266"/>
      <c r="I342" s="268">
        <f>ROUND(2.2,3)</f>
        <v>0</v>
      </c>
      <c r="J342" s="380">
        <v>800</v>
      </c>
      <c r="K342" s="380">
        <f>ROUND(I342*J342,2)</f>
        <v>0</v>
      </c>
    </row>
    <row r="343" spans="1:12" ht="18.75" customHeight="1">
      <c r="A343" s="266"/>
      <c r="B343" s="267" t="s">
        <v>988</v>
      </c>
      <c r="C343" s="267"/>
      <c r="D343" s="267"/>
      <c r="E343" s="267"/>
      <c r="F343" s="267"/>
      <c r="G343" s="266" t="s">
        <v>149</v>
      </c>
      <c r="H343" s="266"/>
      <c r="I343" s="268">
        <f>ROUND(0.42,3)</f>
        <v>0</v>
      </c>
      <c r="J343" s="380">
        <v>350</v>
      </c>
      <c r="K343" s="380">
        <f>ROUND(I343*J343,2)</f>
        <v>0</v>
      </c>
    </row>
    <row r="344" spans="1:12" ht="18.75" customHeight="1">
      <c r="A344" s="266"/>
      <c r="B344" s="267" t="s">
        <v>992</v>
      </c>
      <c r="C344" s="267"/>
      <c r="D344" s="267"/>
      <c r="E344" s="267"/>
      <c r="F344" s="267"/>
      <c r="G344" s="266" t="s">
        <v>149</v>
      </c>
      <c r="H344" s="266"/>
      <c r="I344" s="268">
        <f>ROUND(1.24,3)</f>
        <v>0</v>
      </c>
      <c r="J344" s="380">
        <v>3000</v>
      </c>
      <c r="K344" s="380">
        <f>ROUND(I344*J344,2)</f>
        <v>0</v>
      </c>
    </row>
    <row r="345" spans="1:12" ht="18.75" customHeight="1">
      <c r="A345" s="266"/>
      <c r="B345" s="267" t="s">
        <v>828</v>
      </c>
      <c r="C345" s="267"/>
      <c r="D345" s="267"/>
      <c r="E345" s="267"/>
      <c r="F345" s="267"/>
      <c r="G345" s="266" t="s">
        <v>334</v>
      </c>
      <c r="H345" s="266"/>
      <c r="I345" s="268">
        <f>ROUND(1,3)</f>
        <v>0</v>
      </c>
      <c r="J345" s="380">
        <f>K342+K343+K344</f>
        <v>0</v>
      </c>
      <c r="K345" s="380">
        <f>ROUND(I345*J345/100,2)</f>
        <v>0</v>
      </c>
    </row>
    <row r="346" spans="1:12" ht="18.75" customHeight="1">
      <c r="A346" s="266" t="s">
        <v>704</v>
      </c>
      <c r="B346" s="267" t="s">
        <v>705</v>
      </c>
      <c r="C346" s="267"/>
      <c r="D346" s="267"/>
      <c r="E346" s="267"/>
      <c r="F346" s="267"/>
      <c r="G346" s="266" t="s">
        <v>695</v>
      </c>
      <c r="H346" s="266"/>
      <c r="I346" s="268"/>
      <c r="J346" s="268"/>
      <c r="K346" s="380">
        <f>SUM(K347:K347)</f>
        <v>0</v>
      </c>
    </row>
    <row r="347" spans="1:12" ht="18.75" customHeight="1">
      <c r="A347" s="266"/>
      <c r="B347" s="267" t="s">
        <v>998</v>
      </c>
      <c r="C347" s="267"/>
      <c r="D347" s="267"/>
      <c r="E347" s="267"/>
      <c r="F347" s="267"/>
      <c r="G347" s="266" t="s">
        <v>709</v>
      </c>
      <c r="H347" s="266"/>
      <c r="I347" s="268">
        <f>ROUND(3.36,3)</f>
        <v>0</v>
      </c>
      <c r="J347" s="380">
        <v>0.82</v>
      </c>
      <c r="K347" s="380">
        <f>ROUND(I347*J347,2)</f>
        <v>0</v>
      </c>
    </row>
    <row r="348" spans="1:12" ht="18.75" customHeight="1">
      <c r="A348" s="266" t="s">
        <v>721</v>
      </c>
      <c r="B348" s="267" t="s">
        <v>722</v>
      </c>
      <c r="C348" s="267"/>
      <c r="D348" s="267"/>
      <c r="E348" s="267"/>
      <c r="F348" s="267"/>
      <c r="G348" s="266" t="s">
        <v>695</v>
      </c>
      <c r="H348" s="266"/>
      <c r="I348" s="268">
        <f>3.5&amp;"%"</f>
        <v>0</v>
      </c>
      <c r="J348" s="380">
        <f>K339+K341+K346</f>
        <v>0</v>
      </c>
      <c r="K348" s="380">
        <f>ROUND(I348*J348,2)</f>
        <v>0</v>
      </c>
    </row>
    <row r="349" spans="1:12" ht="18.75" customHeight="1">
      <c r="A349" s="266" t="s">
        <v>348</v>
      </c>
      <c r="B349" s="267" t="s">
        <v>726</v>
      </c>
      <c r="C349" s="267"/>
      <c r="D349" s="267"/>
      <c r="E349" s="267"/>
      <c r="F349" s="267"/>
      <c r="G349" s="266" t="s">
        <v>695</v>
      </c>
      <c r="H349" s="266"/>
      <c r="I349" s="268">
        <f>6&amp;"%"</f>
        <v>0</v>
      </c>
      <c r="J349" s="380">
        <f>K339+K341+K346</f>
        <v>0</v>
      </c>
      <c r="K349" s="380">
        <f>ROUND(I349*J349,2)</f>
        <v>0</v>
      </c>
    </row>
    <row r="350" spans="1:12" ht="18.75" customHeight="1">
      <c r="A350" s="266" t="s">
        <v>34</v>
      </c>
      <c r="B350" s="267" t="s">
        <v>729</v>
      </c>
      <c r="C350" s="267"/>
      <c r="D350" s="267"/>
      <c r="E350" s="267"/>
      <c r="F350" s="267"/>
      <c r="G350" s="266" t="s">
        <v>695</v>
      </c>
      <c r="H350" s="266"/>
      <c r="I350" s="268">
        <f>3.7&amp;"%"</f>
        <v>0</v>
      </c>
      <c r="J350" s="380">
        <f>K338</f>
        <v>0</v>
      </c>
      <c r="K350" s="380">
        <f>ROUND(I350*J350,2)</f>
        <v>0</v>
      </c>
    </row>
    <row r="351" spans="1:12" ht="18.75" customHeight="1">
      <c r="A351" s="266" t="s">
        <v>37</v>
      </c>
      <c r="B351" s="267" t="s">
        <v>732</v>
      </c>
      <c r="C351" s="267"/>
      <c r="D351" s="267"/>
      <c r="E351" s="267"/>
      <c r="F351" s="267"/>
      <c r="G351" s="266" t="s">
        <v>695</v>
      </c>
      <c r="H351" s="266"/>
      <c r="I351" s="268">
        <f>32.8&amp;"%"</f>
        <v>0</v>
      </c>
      <c r="J351" s="380">
        <f>K339</f>
        <v>0</v>
      </c>
      <c r="K351" s="380">
        <f>ROUND(I351*J351,2)</f>
        <v>0</v>
      </c>
    </row>
    <row r="352" spans="1:12" ht="18.75" customHeight="1">
      <c r="A352" s="266" t="s">
        <v>40</v>
      </c>
      <c r="B352" s="267" t="s">
        <v>736</v>
      </c>
      <c r="C352" s="267"/>
      <c r="D352" s="267"/>
      <c r="E352" s="267"/>
      <c r="F352" s="267"/>
      <c r="G352" s="266" t="s">
        <v>695</v>
      </c>
      <c r="H352" s="266"/>
      <c r="I352" s="268">
        <f>7&amp;"%"</f>
        <v>0</v>
      </c>
      <c r="J352" s="380">
        <f>K338+K350+K351</f>
        <v>0</v>
      </c>
      <c r="K352" s="380">
        <f>ROUND(I352*J352,2)</f>
        <v>0</v>
      </c>
    </row>
    <row r="353" spans="1:12" ht="18.75" customHeight="1">
      <c r="A353" s="266" t="s">
        <v>43</v>
      </c>
      <c r="B353" s="267" t="s">
        <v>361</v>
      </c>
      <c r="C353" s="267"/>
      <c r="D353" s="267"/>
      <c r="E353" s="267"/>
      <c r="F353" s="267"/>
      <c r="G353" s="266" t="s">
        <v>695</v>
      </c>
      <c r="H353" s="266"/>
      <c r="I353" s="268"/>
      <c r="J353" s="268"/>
      <c r="K353" s="380">
        <f>SUM(K354:K356)</f>
        <v>0</v>
      </c>
    </row>
    <row r="354" spans="1:12" ht="18.75" customHeight="1">
      <c r="A354" s="266"/>
      <c r="B354" s="267" t="s">
        <v>698</v>
      </c>
      <c r="C354" s="267"/>
      <c r="D354" s="267"/>
      <c r="E354" s="267"/>
      <c r="F354" s="267"/>
      <c r="G354" s="266" t="s">
        <v>699</v>
      </c>
      <c r="H354" s="266"/>
      <c r="I354" s="268">
        <f>ROUND(I340,3)</f>
        <v>0</v>
      </c>
      <c r="J354" s="380">
        <v>4</v>
      </c>
      <c r="K354" s="380">
        <f>ROUND(I354*J354,2)</f>
        <v>0</v>
      </c>
    </row>
    <row r="355" spans="1:12" ht="18.75" customHeight="1">
      <c r="A355" s="266"/>
      <c r="B355" s="267" t="s">
        <v>669</v>
      </c>
      <c r="C355" s="267"/>
      <c r="D355" s="267"/>
      <c r="E355" s="267"/>
      <c r="F355" s="267"/>
      <c r="G355" s="266" t="s">
        <v>81</v>
      </c>
      <c r="H355" s="266"/>
      <c r="I355" s="268">
        <f>ROUND(I342,3)</f>
        <v>0</v>
      </c>
      <c r="J355" s="380">
        <v>350.44</v>
      </c>
      <c r="K355" s="380">
        <f>ROUND(I355*J355,2)</f>
        <v>0</v>
      </c>
    </row>
    <row r="356" spans="1:12" ht="18.75" customHeight="1">
      <c r="A356" s="266"/>
      <c r="B356" s="267" t="s">
        <v>992</v>
      </c>
      <c r="C356" s="267"/>
      <c r="D356" s="267"/>
      <c r="E356" s="267"/>
      <c r="F356" s="267"/>
      <c r="G356" s="266" t="s">
        <v>149</v>
      </c>
      <c r="H356" s="266"/>
      <c r="I356" s="268">
        <f>ROUND(I344,3)</f>
        <v>0</v>
      </c>
      <c r="J356" s="380">
        <v>720</v>
      </c>
      <c r="K356" s="380">
        <f>ROUND(I356*J356,2)</f>
        <v>0</v>
      </c>
    </row>
    <row r="357" spans="1:12" ht="18.75" customHeight="1">
      <c r="A357" s="266" t="s">
        <v>46</v>
      </c>
      <c r="B357" s="267" t="s">
        <v>362</v>
      </c>
      <c r="C357" s="267"/>
      <c r="D357" s="267"/>
      <c r="E357" s="267"/>
      <c r="F357" s="267"/>
      <c r="G357" s="266" t="s">
        <v>695</v>
      </c>
      <c r="H357" s="266"/>
      <c r="I357" s="268">
        <f>0&amp;"%"</f>
        <v>0</v>
      </c>
      <c r="J357" s="380">
        <f>K338+K350+K351+K352+K353</f>
        <v>0</v>
      </c>
      <c r="K357" s="380">
        <f>ROUND(I357*J357,2)</f>
        <v>0</v>
      </c>
    </row>
    <row r="358" spans="1:12" ht="18.75" customHeight="1">
      <c r="A358" s="266" t="s">
        <v>49</v>
      </c>
      <c r="B358" s="267" t="s">
        <v>363</v>
      </c>
      <c r="C358" s="267"/>
      <c r="D358" s="267"/>
      <c r="E358" s="267"/>
      <c r="F358" s="267"/>
      <c r="G358" s="266" t="s">
        <v>695</v>
      </c>
      <c r="H358" s="266"/>
      <c r="I358" s="268">
        <f>9&amp;"%"</f>
        <v>0</v>
      </c>
      <c r="J358" s="380">
        <f>K338+K350+K351+K352+K353+K357</f>
        <v>0</v>
      </c>
      <c r="K358" s="380">
        <f>ROUND(I358*J358,2)</f>
        <v>0</v>
      </c>
    </row>
    <row r="359" spans="1:12" ht="18.75" customHeight="1">
      <c r="A359" s="266"/>
      <c r="B359" s="267" t="s">
        <v>64</v>
      </c>
      <c r="C359" s="267"/>
      <c r="D359" s="267"/>
      <c r="E359" s="267"/>
      <c r="F359" s="267"/>
      <c r="G359" s="266" t="s">
        <v>695</v>
      </c>
      <c r="H359" s="266"/>
      <c r="I359" s="268"/>
      <c r="J359" s="268"/>
      <c r="K359" s="380">
        <f>K338+K350+K351+K352+K353+K357+K358</f>
        <v>0</v>
      </c>
    </row>
    <row r="360" spans="1:12" ht="18.75" customHeight="1">
      <c r="A360" s="266"/>
      <c r="B360" s="267" t="s">
        <v>752</v>
      </c>
      <c r="C360" s="267"/>
      <c r="D360" s="267"/>
      <c r="E360" s="267"/>
      <c r="F360" s="267"/>
      <c r="G360" s="266" t="s">
        <v>695</v>
      </c>
      <c r="H360" s="266"/>
      <c r="I360" s="268"/>
      <c r="J360" s="268"/>
      <c r="K360" s="380">
        <f>ROUND(K359/100,2)</f>
        <v>0</v>
      </c>
    </row>
    <row r="361" spans="1:11" ht="18.75" customHeight="1">
      <c r="A361" s="266"/>
      <c r="B361" s="267"/>
      <c r="C361" s="267"/>
      <c r="D361" s="267"/>
      <c r="E361" s="267"/>
      <c r="F361" s="267"/>
      <c r="G361" s="266"/>
      <c r="H361" s="266"/>
      <c r="I361" s="268"/>
      <c r="J361" s="268"/>
      <c r="K361" s="268"/>
    </row>
    <row r="362" spans="1:11" ht="18.75" customHeight="1">
      <c r="A362" s="266"/>
      <c r="B362" s="267"/>
      <c r="C362" s="267"/>
      <c r="D362" s="267"/>
      <c r="E362" s="267"/>
      <c r="F362" s="267"/>
      <c r="G362" s="266"/>
      <c r="H362" s="266"/>
      <c r="I362" s="268"/>
      <c r="J362" s="268"/>
      <c r="K362" s="268"/>
    </row>
    <row r="363" spans="1:11" ht="18.75" customHeight="1">
      <c r="A363" s="266"/>
      <c r="B363" s="267"/>
      <c r="C363" s="267"/>
      <c r="D363" s="267"/>
      <c r="E363" s="267"/>
      <c r="F363" s="267"/>
      <c r="G363" s="266"/>
      <c r="H363" s="266"/>
      <c r="I363" s="268"/>
      <c r="J363" s="268"/>
      <c r="K363" s="268"/>
    </row>
    <row r="364" spans="1:11" ht="18.75" customHeight="1">
      <c r="A364" s="266"/>
      <c r="B364" s="267"/>
      <c r="C364" s="267"/>
      <c r="D364" s="267"/>
      <c r="E364" s="267"/>
      <c r="F364" s="267"/>
      <c r="G364" s="266"/>
      <c r="H364" s="266"/>
      <c r="I364" s="268"/>
      <c r="J364" s="268"/>
      <c r="K364" s="268"/>
    </row>
    <row r="365" spans="1:11" ht="18.75" customHeight="1">
      <c r="A365" s="266"/>
      <c r="B365" s="267"/>
      <c r="C365" s="267"/>
      <c r="D365" s="267"/>
      <c r="E365" s="267"/>
      <c r="F365" s="267"/>
      <c r="G365" s="266"/>
      <c r="H365" s="266"/>
      <c r="I365" s="268"/>
      <c r="J365" s="268"/>
      <c r="K365" s="268"/>
    </row>
    <row r="366" spans="1:11" ht="18.75" customHeight="1">
      <c r="A366" s="266"/>
      <c r="B366" s="267"/>
      <c r="C366" s="267"/>
      <c r="D366" s="267"/>
      <c r="E366" s="267"/>
      <c r="F366" s="267"/>
      <c r="G366" s="266"/>
      <c r="H366" s="266"/>
      <c r="I366" s="268"/>
      <c r="J366" s="268"/>
      <c r="K366" s="268"/>
    </row>
    <row r="367" spans="1:11" ht="18.75" customHeight="1">
      <c r="A367" s="266"/>
      <c r="B367" s="267"/>
      <c r="C367" s="267"/>
      <c r="D367" s="267"/>
      <c r="E367" s="267"/>
      <c r="F367" s="267"/>
      <c r="G367" s="266"/>
      <c r="H367" s="266"/>
      <c r="I367" s="268"/>
      <c r="J367" s="268"/>
      <c r="K367" s="268"/>
    </row>
    <row r="368" spans="1:11" ht="18.75" customHeight="1">
      <c r="A368" s="266"/>
      <c r="B368" s="267"/>
      <c r="C368" s="267"/>
      <c r="D368" s="267"/>
      <c r="E368" s="267"/>
      <c r="F368" s="267"/>
      <c r="G368" s="266"/>
      <c r="H368" s="266"/>
      <c r="I368" s="268"/>
      <c r="J368" s="268"/>
      <c r="K368" s="268"/>
    </row>
    <row r="369" spans="1:11" ht="7.5" customHeight="1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259"/>
    </row>
    <row r="370" spans="1:11" ht="26.25" customHeight="1">
      <c r="A370" s="260" t="s">
        <v>684</v>
      </c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</row>
    <row r="371" spans="1:11" ht="18.75" customHeight="1">
      <c r="A371" s="261" t="s">
        <v>1016</v>
      </c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</row>
    <row r="372" spans="1:11" ht="18.75" customHeight="1">
      <c r="A372" s="262" t="s">
        <v>686</v>
      </c>
      <c r="B372" s="259" t="s">
        <v>313</v>
      </c>
      <c r="C372" s="259"/>
      <c r="D372" s="259"/>
      <c r="E372" s="259"/>
      <c r="F372" s="259"/>
      <c r="G372" s="259"/>
      <c r="H372" s="263" t="s">
        <v>687</v>
      </c>
      <c r="I372" s="263"/>
      <c r="J372" s="263"/>
      <c r="K372" s="263"/>
    </row>
    <row r="373" spans="1:11" ht="53.25" customHeight="1">
      <c r="A373" s="264" t="s">
        <v>688</v>
      </c>
      <c r="B373" s="265" t="s">
        <v>1017</v>
      </c>
      <c r="C373" s="265"/>
      <c r="D373" s="265"/>
      <c r="E373" s="265"/>
      <c r="F373" s="265"/>
      <c r="G373" s="265"/>
      <c r="H373" s="265"/>
      <c r="I373" s="265"/>
      <c r="J373" s="265"/>
      <c r="K373" s="265"/>
    </row>
    <row r="374" spans="1:12" ht="18.75" customHeight="1">
      <c r="A374" s="266" t="s">
        <v>28</v>
      </c>
      <c r="B374" s="266" t="s">
        <v>690</v>
      </c>
      <c r="C374" s="266" t="s">
        <v>650</v>
      </c>
      <c r="D374" s="266"/>
      <c r="E374" s="266"/>
      <c r="F374" s="266"/>
      <c r="G374" s="266" t="s">
        <v>651</v>
      </c>
      <c r="H374" s="266"/>
      <c r="I374" s="266" t="s">
        <v>691</v>
      </c>
      <c r="J374" s="266" t="s">
        <v>692</v>
      </c>
      <c r="K374" s="266" t="s">
        <v>693</v>
      </c>
    </row>
    <row r="375" spans="1:12" ht="18.75" customHeight="1">
      <c r="A375" s="266" t="s">
        <v>31</v>
      </c>
      <c r="B375" s="267" t="s">
        <v>694</v>
      </c>
      <c r="C375" s="267"/>
      <c r="D375" s="267"/>
      <c r="E375" s="267"/>
      <c r="F375" s="267"/>
      <c r="G375" s="266" t="s">
        <v>695</v>
      </c>
      <c r="H375" s="266"/>
      <c r="I375" s="268"/>
      <c r="J375" s="268"/>
      <c r="K375" s="380">
        <f>K376+K380+K386+K393+K394</f>
        <v>0</v>
      </c>
    </row>
    <row r="376" spans="1:12" ht="18.75" customHeight="1">
      <c r="A376" s="266" t="s">
        <v>76</v>
      </c>
      <c r="B376" s="267" t="s">
        <v>353</v>
      </c>
      <c r="C376" s="267"/>
      <c r="D376" s="267"/>
      <c r="E376" s="267"/>
      <c r="F376" s="267"/>
      <c r="G376" s="266" t="s">
        <v>695</v>
      </c>
      <c r="H376" s="266"/>
      <c r="I376" s="268"/>
      <c r="J376" s="268"/>
      <c r="K376" s="380">
        <f>SUM(K377:K379)</f>
        <v>0</v>
      </c>
    </row>
    <row r="377" spans="1:12" ht="18.75" customHeight="1">
      <c r="A377" s="266"/>
      <c r="B377" s="267" t="s">
        <v>698</v>
      </c>
      <c r="C377" s="267"/>
      <c r="D377" s="267"/>
      <c r="E377" s="267"/>
      <c r="F377" s="267"/>
      <c r="G377" s="266" t="s">
        <v>699</v>
      </c>
      <c r="H377" s="266"/>
      <c r="I377" s="268">
        <f>ROUND(1016,3)</f>
        <v>0</v>
      </c>
      <c r="J377" s="380">
        <v>3.46</v>
      </c>
      <c r="K377" s="380">
        <f>ROUND(I377*J377,2)</f>
        <v>0</v>
      </c>
    </row>
    <row r="378" spans="1:12" ht="18.75" customHeight="1">
      <c r="A378" s="266"/>
      <c r="B378" s="267" t="s">
        <v>698</v>
      </c>
      <c r="C378" s="267"/>
      <c r="D378" s="267"/>
      <c r="E378" s="267"/>
      <c r="F378" s="267"/>
      <c r="G378" s="266" t="s">
        <v>699</v>
      </c>
      <c r="H378" s="266"/>
      <c r="I378" s="268">
        <f>ROUND(242*1.03,3)</f>
        <v>0</v>
      </c>
      <c r="J378" s="380">
        <v>3.46</v>
      </c>
      <c r="K378" s="380">
        <f>ROUND(I378*J378,2)</f>
        <v>0</v>
      </c>
    </row>
    <row r="379" spans="1:12" ht="18.75" customHeight="1">
      <c r="A379" s="266"/>
      <c r="B379" s="267" t="s">
        <v>698</v>
      </c>
      <c r="C379" s="267"/>
      <c r="D379" s="267"/>
      <c r="E379" s="267"/>
      <c r="F379" s="267"/>
      <c r="G379" s="266" t="s">
        <v>699</v>
      </c>
      <c r="H379" s="266"/>
      <c r="I379" s="268">
        <f>ROUND(97*1.03,3)</f>
        <v>0</v>
      </c>
      <c r="J379" s="380">
        <v>3.46</v>
      </c>
      <c r="K379" s="380">
        <f>ROUND(I379*J379,2)</f>
        <v>0</v>
      </c>
    </row>
    <row r="380" spans="1:12" ht="18.75" customHeight="1">
      <c r="A380" s="266" t="s">
        <v>152</v>
      </c>
      <c r="B380" s="267" t="s">
        <v>354</v>
      </c>
      <c r="C380" s="267"/>
      <c r="D380" s="267"/>
      <c r="E380" s="267"/>
      <c r="F380" s="267"/>
      <c r="G380" s="266" t="s">
        <v>695</v>
      </c>
      <c r="H380" s="266"/>
      <c r="I380" s="268"/>
      <c r="J380" s="268"/>
      <c r="K380" s="380">
        <f>SUM(K381:K385)</f>
        <v>0</v>
      </c>
    </row>
    <row r="381" spans="1:12" ht="18.75" customHeight="1">
      <c r="A381" s="266"/>
      <c r="B381" s="267" t="s">
        <v>1027</v>
      </c>
      <c r="C381" s="267"/>
      <c r="D381" s="267"/>
      <c r="E381" s="267"/>
      <c r="F381" s="267"/>
      <c r="G381" s="266" t="s">
        <v>81</v>
      </c>
      <c r="H381" s="266"/>
      <c r="I381" s="268">
        <f>ROUND(120,3)</f>
        <v>0</v>
      </c>
      <c r="J381" s="380">
        <v>0.5</v>
      </c>
      <c r="K381" s="380">
        <f>ROUND(I381*J381,2)</f>
        <v>0</v>
      </c>
    </row>
    <row r="382" spans="1:12" ht="27.75" customHeight="1">
      <c r="A382" s="266"/>
      <c r="B382" s="267" t="s">
        <v>1030</v>
      </c>
      <c r="C382" s="267" t="s">
        <v>1031</v>
      </c>
      <c r="D382" s="267"/>
      <c r="E382" s="267"/>
      <c r="F382" s="267"/>
      <c r="G382" s="266" t="s">
        <v>81</v>
      </c>
      <c r="H382" s="266"/>
      <c r="I382" s="268">
        <f>ROUND(103,3)</f>
        <v>0</v>
      </c>
      <c r="J382" s="380">
        <v>114.45</v>
      </c>
      <c r="K382" s="380">
        <f>ROUND(I382*J382,2)</f>
        <v>0</v>
      </c>
    </row>
    <row r="383" spans="1:12" ht="18.75" customHeight="1">
      <c r="A383" s="266"/>
      <c r="B383" s="267" t="s">
        <v>828</v>
      </c>
      <c r="C383" s="267"/>
      <c r="D383" s="267"/>
      <c r="E383" s="267"/>
      <c r="F383" s="267"/>
      <c r="G383" s="266" t="s">
        <v>334</v>
      </c>
      <c r="H383" s="266"/>
      <c r="I383" s="268">
        <f>ROUND(2,3)</f>
        <v>0</v>
      </c>
      <c r="J383" s="380">
        <f>K381+K382</f>
        <v>0</v>
      </c>
      <c r="K383" s="380">
        <f>ROUND(I383*J383/100,2)</f>
        <v>0</v>
      </c>
    </row>
    <row r="384" spans="1:12" ht="18.75" customHeight="1">
      <c r="A384" s="266"/>
      <c r="B384" s="267" t="s">
        <v>702</v>
      </c>
      <c r="C384" s="267"/>
      <c r="D384" s="267"/>
      <c r="E384" s="267"/>
      <c r="F384" s="267"/>
      <c r="G384" s="266" t="s">
        <v>334</v>
      </c>
      <c r="H384" s="266"/>
      <c r="I384" s="268">
        <f>ROUND(2,3)</f>
        <v>0</v>
      </c>
      <c r="J384" s="380">
        <f>K378+K390+K391</f>
        <v>0</v>
      </c>
      <c r="K384" s="380">
        <f>ROUND(I384*J384/100,2)</f>
        <v>0</v>
      </c>
    </row>
    <row r="385" spans="1:12" ht="18.75" customHeight="1">
      <c r="A385" s="266"/>
      <c r="B385" s="267" t="s">
        <v>702</v>
      </c>
      <c r="C385" s="267"/>
      <c r="D385" s="267"/>
      <c r="E385" s="267"/>
      <c r="F385" s="267"/>
      <c r="G385" s="266" t="s">
        <v>334</v>
      </c>
      <c r="H385" s="266"/>
      <c r="I385" s="268">
        <f>ROUND(6,3)</f>
        <v>0</v>
      </c>
      <c r="J385" s="380">
        <f>K379+K392</f>
        <v>0</v>
      </c>
      <c r="K385" s="380">
        <f>ROUND(I385*J385/100,2)</f>
        <v>0</v>
      </c>
    </row>
    <row r="386" spans="1:12" ht="18.75" customHeight="1">
      <c r="A386" s="266" t="s">
        <v>704</v>
      </c>
      <c r="B386" s="267" t="s">
        <v>705</v>
      </c>
      <c r="C386" s="267"/>
      <c r="D386" s="267"/>
      <c r="E386" s="267"/>
      <c r="F386" s="267"/>
      <c r="G386" s="266" t="s">
        <v>695</v>
      </c>
      <c r="H386" s="266"/>
      <c r="I386" s="268"/>
      <c r="J386" s="268"/>
      <c r="K386" s="380">
        <f>SUM(K387:K392)</f>
        <v>0</v>
      </c>
    </row>
    <row r="387" spans="1:12" ht="18.75" customHeight="1">
      <c r="A387" s="266"/>
      <c r="B387" s="267" t="s">
        <v>1041</v>
      </c>
      <c r="C387" s="267" t="s">
        <v>1042</v>
      </c>
      <c r="D387" s="267"/>
      <c r="E387" s="267"/>
      <c r="F387" s="267"/>
      <c r="G387" s="266" t="s">
        <v>709</v>
      </c>
      <c r="H387" s="266"/>
      <c r="I387" s="268">
        <f>ROUND(35.6,3)</f>
        <v>0</v>
      </c>
      <c r="J387" s="380">
        <v>2.07</v>
      </c>
      <c r="K387" s="380">
        <f>ROUND(I387*J387,2)</f>
        <v>0</v>
      </c>
    </row>
    <row r="388" spans="1:12" ht="18.75" customHeight="1">
      <c r="A388" s="266"/>
      <c r="B388" s="267" t="s">
        <v>1046</v>
      </c>
      <c r="C388" s="267" t="s">
        <v>1047</v>
      </c>
      <c r="D388" s="267"/>
      <c r="E388" s="267"/>
      <c r="F388" s="267"/>
      <c r="G388" s="266" t="s">
        <v>709</v>
      </c>
      <c r="H388" s="266"/>
      <c r="I388" s="268">
        <f>ROUND(7.44,3)</f>
        <v>0</v>
      </c>
      <c r="J388" s="380">
        <v>33.03</v>
      </c>
      <c r="K388" s="380">
        <f>ROUND(I388*J388,2)</f>
        <v>0</v>
      </c>
    </row>
    <row r="389" spans="1:12" ht="18.75" customHeight="1">
      <c r="A389" s="266"/>
      <c r="B389" s="267" t="s">
        <v>883</v>
      </c>
      <c r="C389" s="267"/>
      <c r="D389" s="267"/>
      <c r="E389" s="267"/>
      <c r="F389" s="267"/>
      <c r="G389" s="266" t="s">
        <v>334</v>
      </c>
      <c r="H389" s="266"/>
      <c r="I389" s="268">
        <f>ROUND(10,3)</f>
        <v>0</v>
      </c>
      <c r="J389" s="380">
        <f>K387+K388</f>
        <v>0</v>
      </c>
      <c r="K389" s="380">
        <f>ROUND(I389*J389/100,2)</f>
        <v>0</v>
      </c>
    </row>
    <row r="390" spans="1:12" ht="18.75" customHeight="1">
      <c r="A390" s="266"/>
      <c r="B390" s="267" t="s">
        <v>1053</v>
      </c>
      <c r="C390" s="267" t="s">
        <v>1054</v>
      </c>
      <c r="D390" s="267"/>
      <c r="E390" s="267"/>
      <c r="F390" s="267"/>
      <c r="G390" s="266" t="s">
        <v>709</v>
      </c>
      <c r="H390" s="266"/>
      <c r="I390" s="268">
        <f>ROUND(18*1.03,3)</f>
        <v>0</v>
      </c>
      <c r="J390" s="380">
        <v>20.6</v>
      </c>
      <c r="K390" s="380">
        <f>ROUND(I390*J390,2)</f>
        <v>0</v>
      </c>
    </row>
    <row r="391" spans="1:12" ht="18.75" customHeight="1">
      <c r="A391" s="266"/>
      <c r="B391" s="267" t="s">
        <v>998</v>
      </c>
      <c r="C391" s="267"/>
      <c r="D391" s="267"/>
      <c r="E391" s="267"/>
      <c r="F391" s="267"/>
      <c r="G391" s="266" t="s">
        <v>709</v>
      </c>
      <c r="H391" s="266"/>
      <c r="I391" s="268">
        <f>ROUND(83*1.03,3)</f>
        <v>0</v>
      </c>
      <c r="J391" s="380">
        <v>0.82</v>
      </c>
      <c r="K391" s="380">
        <f>ROUND(I391*J391,2)</f>
        <v>0</v>
      </c>
    </row>
    <row r="392" spans="1:12" ht="18.75" customHeight="1">
      <c r="A392" s="266"/>
      <c r="B392" s="267" t="s">
        <v>998</v>
      </c>
      <c r="C392" s="267"/>
      <c r="D392" s="267"/>
      <c r="E392" s="267"/>
      <c r="F392" s="267"/>
      <c r="G392" s="266" t="s">
        <v>709</v>
      </c>
      <c r="H392" s="266"/>
      <c r="I392" s="268">
        <f>ROUND(117.5*1.03,3)</f>
        <v>0</v>
      </c>
      <c r="J392" s="380">
        <v>0.82</v>
      </c>
      <c r="K392" s="380">
        <f>ROUND(I392*J392,2)</f>
        <v>0</v>
      </c>
    </row>
    <row r="393" spans="1:12" ht="18.75" customHeight="1">
      <c r="A393" s="266" t="s">
        <v>721</v>
      </c>
      <c r="B393" s="267" t="s">
        <v>722</v>
      </c>
      <c r="C393" s="267"/>
      <c r="D393" s="267"/>
      <c r="E393" s="267"/>
      <c r="F393" s="267"/>
      <c r="G393" s="266" t="s">
        <v>695</v>
      </c>
      <c r="H393" s="266"/>
      <c r="I393" s="268">
        <f>3.5&amp;"%"</f>
        <v>0</v>
      </c>
      <c r="J393" s="380">
        <f>K376+K380+K386</f>
        <v>0</v>
      </c>
      <c r="K393" s="380">
        <f>ROUND(I393*J393,2)</f>
        <v>0</v>
      </c>
    </row>
    <row r="394" spans="1:12" ht="18.75" customHeight="1">
      <c r="A394" s="266" t="s">
        <v>348</v>
      </c>
      <c r="B394" s="267" t="s">
        <v>726</v>
      </c>
      <c r="C394" s="267"/>
      <c r="D394" s="267"/>
      <c r="E394" s="267"/>
      <c r="F394" s="267"/>
      <c r="G394" s="266" t="s">
        <v>695</v>
      </c>
      <c r="H394" s="266"/>
      <c r="I394" s="268">
        <f>6&amp;"%"</f>
        <v>0</v>
      </c>
      <c r="J394" s="380">
        <f>K376+K380+K386</f>
        <v>0</v>
      </c>
      <c r="K394" s="380">
        <f>ROUND(I394*J394,2)</f>
        <v>0</v>
      </c>
    </row>
    <row r="395" spans="1:12" ht="18.75" customHeight="1">
      <c r="A395" s="266" t="s">
        <v>34</v>
      </c>
      <c r="B395" s="267" t="s">
        <v>729</v>
      </c>
      <c r="C395" s="267"/>
      <c r="D395" s="267"/>
      <c r="E395" s="267"/>
      <c r="F395" s="267"/>
      <c r="G395" s="266" t="s">
        <v>695</v>
      </c>
      <c r="H395" s="266"/>
      <c r="I395" s="268">
        <f>3.7&amp;"%"</f>
        <v>0</v>
      </c>
      <c r="J395" s="380">
        <f>K375</f>
        <v>0</v>
      </c>
      <c r="K395" s="380">
        <f>ROUND(I395*J395,2)</f>
        <v>0</v>
      </c>
    </row>
    <row r="396" spans="1:12" ht="18.75" customHeight="1">
      <c r="A396" s="266" t="s">
        <v>37</v>
      </c>
      <c r="B396" s="267" t="s">
        <v>732</v>
      </c>
      <c r="C396" s="267"/>
      <c r="D396" s="267"/>
      <c r="E396" s="267"/>
      <c r="F396" s="267"/>
      <c r="G396" s="266" t="s">
        <v>695</v>
      </c>
      <c r="H396" s="266"/>
      <c r="I396" s="268">
        <f>32.8&amp;"%"</f>
        <v>0</v>
      </c>
      <c r="J396" s="380">
        <f>K376+ROUND(I390*1.3*3.46,2)</f>
        <v>0</v>
      </c>
      <c r="K396" s="380">
        <f>ROUND(I396*J396,2)</f>
        <v>0</v>
      </c>
    </row>
    <row r="397" spans="1:12" ht="18.75" customHeight="1">
      <c r="A397" s="266" t="s">
        <v>40</v>
      </c>
      <c r="B397" s="267" t="s">
        <v>736</v>
      </c>
      <c r="C397" s="267"/>
      <c r="D397" s="267"/>
      <c r="E397" s="267"/>
      <c r="F397" s="267"/>
      <c r="G397" s="266" t="s">
        <v>695</v>
      </c>
      <c r="H397" s="266"/>
      <c r="I397" s="268">
        <f>7&amp;"%"</f>
        <v>0</v>
      </c>
      <c r="J397" s="380">
        <f>K375+K395+K396</f>
        <v>0</v>
      </c>
      <c r="K397" s="380">
        <f>ROUND(I397*J397,2)</f>
        <v>0</v>
      </c>
    </row>
    <row r="398" spans="1:12" ht="18.75" customHeight="1">
      <c r="A398" s="266" t="s">
        <v>43</v>
      </c>
      <c r="B398" s="267" t="s">
        <v>361</v>
      </c>
      <c r="C398" s="267"/>
      <c r="D398" s="267"/>
      <c r="E398" s="267"/>
      <c r="F398" s="267"/>
      <c r="G398" s="266" t="s">
        <v>695</v>
      </c>
      <c r="H398" s="266"/>
      <c r="I398" s="268"/>
      <c r="J398" s="268"/>
      <c r="K398" s="380">
        <f>SUM(K399:K403)</f>
        <v>0</v>
      </c>
    </row>
    <row r="399" spans="1:12" ht="18.75" customHeight="1">
      <c r="A399" s="266"/>
      <c r="B399" s="267" t="s">
        <v>698</v>
      </c>
      <c r="C399" s="267"/>
      <c r="D399" s="267"/>
      <c r="E399" s="267"/>
      <c r="F399" s="267"/>
      <c r="G399" s="266" t="s">
        <v>699</v>
      </c>
      <c r="H399" s="266"/>
      <c r="I399" s="268">
        <f>ROUND(I377+I378+I379,3)</f>
        <v>0</v>
      </c>
      <c r="J399" s="380">
        <v>4</v>
      </c>
      <c r="K399" s="380">
        <f>ROUND(I399*J399,2)</f>
        <v>0</v>
      </c>
    </row>
    <row r="400" spans="1:12" ht="18.75" customHeight="1">
      <c r="A400" s="266"/>
      <c r="B400" s="267" t="s">
        <v>741</v>
      </c>
      <c r="C400" s="267"/>
      <c r="D400" s="267"/>
      <c r="E400" s="267"/>
      <c r="F400" s="267"/>
      <c r="G400" s="266" t="s">
        <v>699</v>
      </c>
      <c r="H400" s="266"/>
      <c r="I400" s="268">
        <f>ROUND(I390*1.3,3)</f>
        <v>0</v>
      </c>
      <c r="J400" s="380">
        <v>4</v>
      </c>
      <c r="K400" s="380">
        <f>ROUND(I400*J400,2)</f>
        <v>0</v>
      </c>
    </row>
    <row r="401" spans="1:12" ht="18.75" customHeight="1">
      <c r="A401" s="266"/>
      <c r="B401" s="267" t="s">
        <v>658</v>
      </c>
      <c r="C401" s="267" t="s">
        <v>659</v>
      </c>
      <c r="D401" s="267"/>
      <c r="E401" s="267"/>
      <c r="F401" s="267"/>
      <c r="G401" s="266" t="s">
        <v>149</v>
      </c>
      <c r="H401" s="266"/>
      <c r="I401" s="268">
        <f>ROUND(I382*287.1*0.001,3)</f>
        <v>0</v>
      </c>
      <c r="J401" s="380">
        <v>206.26</v>
      </c>
      <c r="K401" s="380">
        <f>ROUND(I401*J401,2)</f>
        <v>0</v>
      </c>
    </row>
    <row r="402" spans="1:12" ht="18.75" customHeight="1">
      <c r="A402" s="266"/>
      <c r="B402" s="267" t="s">
        <v>661</v>
      </c>
      <c r="C402" s="267"/>
      <c r="D402" s="267"/>
      <c r="E402" s="267"/>
      <c r="F402" s="267"/>
      <c r="G402" s="266" t="s">
        <v>81</v>
      </c>
      <c r="H402" s="266"/>
      <c r="I402" s="268">
        <f>ROUND(I382*0.8586,3)</f>
        <v>0</v>
      </c>
      <c r="J402" s="380">
        <v>102.44</v>
      </c>
      <c r="K402" s="380">
        <f>ROUND(I402*J402,2)</f>
        <v>0</v>
      </c>
    </row>
    <row r="403" spans="1:12" ht="18.75" customHeight="1">
      <c r="A403" s="266"/>
      <c r="B403" s="267" t="s">
        <v>682</v>
      </c>
      <c r="C403" s="267"/>
      <c r="D403" s="267"/>
      <c r="E403" s="267"/>
      <c r="F403" s="267"/>
      <c r="G403" s="266" t="s">
        <v>81</v>
      </c>
      <c r="H403" s="266"/>
      <c r="I403" s="268">
        <f>ROUND(I382*0.561,3)</f>
        <v>0</v>
      </c>
      <c r="J403" s="380">
        <v>142.25</v>
      </c>
      <c r="K403" s="380">
        <f>ROUND(I403*J403,2)</f>
        <v>0</v>
      </c>
    </row>
    <row r="404" spans="1:11" ht="7.5" customHeight="1">
      <c r="A404" s="259"/>
      <c r="B404" s="259"/>
      <c r="C404" s="259"/>
      <c r="D404" s="259"/>
      <c r="E404" s="259"/>
      <c r="F404" s="259"/>
      <c r="G404" s="259"/>
      <c r="H404" s="259"/>
      <c r="I404" s="259"/>
      <c r="J404" s="259"/>
      <c r="K404" s="259"/>
    </row>
    <row r="405" spans="1:11" ht="26.25" customHeight="1">
      <c r="A405" s="260" t="s">
        <v>684</v>
      </c>
      <c r="B405" s="260"/>
      <c r="C405" s="260"/>
      <c r="D405" s="260"/>
      <c r="E405" s="260"/>
      <c r="F405" s="260"/>
      <c r="G405" s="260"/>
      <c r="H405" s="260"/>
      <c r="I405" s="260"/>
      <c r="J405" s="260"/>
      <c r="K405" s="260"/>
    </row>
    <row r="406" spans="1:11" ht="18.75" customHeight="1">
      <c r="A406" s="261" t="s">
        <v>1016</v>
      </c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</row>
    <row r="407" spans="1:11" ht="18.75" customHeight="1">
      <c r="A407" s="262" t="s">
        <v>686</v>
      </c>
      <c r="B407" s="259" t="s">
        <v>313</v>
      </c>
      <c r="C407" s="259"/>
      <c r="D407" s="259"/>
      <c r="E407" s="259"/>
      <c r="F407" s="259"/>
      <c r="G407" s="259"/>
      <c r="H407" s="263" t="s">
        <v>687</v>
      </c>
      <c r="I407" s="263"/>
      <c r="J407" s="263"/>
      <c r="K407" s="263"/>
    </row>
    <row r="408" spans="1:11" ht="53.25" customHeight="1">
      <c r="A408" s="264" t="s">
        <v>688</v>
      </c>
      <c r="B408" s="265" t="s">
        <v>1017</v>
      </c>
      <c r="C408" s="265"/>
      <c r="D408" s="265"/>
      <c r="E408" s="265"/>
      <c r="F408" s="265"/>
      <c r="G408" s="265"/>
      <c r="H408" s="265"/>
      <c r="I408" s="265"/>
      <c r="J408" s="265"/>
      <c r="K408" s="265"/>
    </row>
    <row r="409" spans="1:12" ht="18.75" customHeight="1">
      <c r="A409" s="266" t="s">
        <v>28</v>
      </c>
      <c r="B409" s="266" t="s">
        <v>690</v>
      </c>
      <c r="C409" s="266" t="s">
        <v>650</v>
      </c>
      <c r="D409" s="266"/>
      <c r="E409" s="266"/>
      <c r="F409" s="266"/>
      <c r="G409" s="266" t="s">
        <v>651</v>
      </c>
      <c r="H409" s="266"/>
      <c r="I409" s="266" t="s">
        <v>691</v>
      </c>
      <c r="J409" s="266" t="s">
        <v>692</v>
      </c>
      <c r="K409" s="266" t="s">
        <v>693</v>
      </c>
    </row>
    <row r="410" spans="1:12" ht="18.75" customHeight="1">
      <c r="A410" s="266" t="s">
        <v>46</v>
      </c>
      <c r="B410" s="267" t="s">
        <v>362</v>
      </c>
      <c r="C410" s="267"/>
      <c r="D410" s="267"/>
      <c r="E410" s="267"/>
      <c r="F410" s="267"/>
      <c r="G410" s="266" t="s">
        <v>695</v>
      </c>
      <c r="H410" s="266"/>
      <c r="I410" s="268">
        <f>0&amp;"%"</f>
        <v>0</v>
      </c>
      <c r="J410" s="380">
        <f>K375+K395+K396+K397+K398</f>
        <v>0</v>
      </c>
      <c r="K410" s="380">
        <f>ROUND(I410*J410,2)</f>
        <v>0</v>
      </c>
    </row>
    <row r="411" spans="1:12" ht="18.75" customHeight="1">
      <c r="A411" s="266" t="s">
        <v>49</v>
      </c>
      <c r="B411" s="267" t="s">
        <v>363</v>
      </c>
      <c r="C411" s="267"/>
      <c r="D411" s="267"/>
      <c r="E411" s="267"/>
      <c r="F411" s="267"/>
      <c r="G411" s="266" t="s">
        <v>695</v>
      </c>
      <c r="H411" s="266"/>
      <c r="I411" s="268">
        <f>9&amp;"%"</f>
        <v>0</v>
      </c>
      <c r="J411" s="380">
        <f>K375+K395+K396+K397+K398+K410</f>
        <v>0</v>
      </c>
      <c r="K411" s="380">
        <f>ROUND(I411*J411,2)</f>
        <v>0</v>
      </c>
    </row>
    <row r="412" spans="1:12" ht="18.75" customHeight="1">
      <c r="A412" s="266"/>
      <c r="B412" s="267" t="s">
        <v>64</v>
      </c>
      <c r="C412" s="267"/>
      <c r="D412" s="267"/>
      <c r="E412" s="267"/>
      <c r="F412" s="267"/>
      <c r="G412" s="266" t="s">
        <v>695</v>
      </c>
      <c r="H412" s="266"/>
      <c r="I412" s="268"/>
      <c r="J412" s="268"/>
      <c r="K412" s="380">
        <f>K375+K395+K396+K397+K398+K410+K411</f>
        <v>0</v>
      </c>
    </row>
    <row r="413" spans="1:12" ht="18.75" customHeight="1">
      <c r="A413" s="266"/>
      <c r="B413" s="267" t="s">
        <v>752</v>
      </c>
      <c r="C413" s="267"/>
      <c r="D413" s="267"/>
      <c r="E413" s="267"/>
      <c r="F413" s="267"/>
      <c r="G413" s="266" t="s">
        <v>695</v>
      </c>
      <c r="H413" s="266"/>
      <c r="I413" s="268"/>
      <c r="J413" s="268"/>
      <c r="K413" s="380">
        <f>ROUND(K412/100,2)</f>
        <v>0</v>
      </c>
    </row>
    <row r="414" spans="1:11" ht="18.75" customHeight="1">
      <c r="A414" s="266"/>
      <c r="B414" s="267"/>
      <c r="C414" s="267"/>
      <c r="D414" s="267"/>
      <c r="E414" s="267"/>
      <c r="F414" s="267"/>
      <c r="G414" s="266"/>
      <c r="H414" s="266"/>
      <c r="I414" s="268"/>
      <c r="J414" s="268"/>
      <c r="K414" s="268"/>
    </row>
    <row r="415" spans="1:11" ht="18.75" customHeight="1">
      <c r="A415" s="266"/>
      <c r="B415" s="267"/>
      <c r="C415" s="267"/>
      <c r="D415" s="267"/>
      <c r="E415" s="267"/>
      <c r="F415" s="267"/>
      <c r="G415" s="266"/>
      <c r="H415" s="266"/>
      <c r="I415" s="268"/>
      <c r="J415" s="268"/>
      <c r="K415" s="268"/>
    </row>
    <row r="416" spans="1:11" ht="18.75" customHeight="1">
      <c r="A416" s="266"/>
      <c r="B416" s="267"/>
      <c r="C416" s="267"/>
      <c r="D416" s="267"/>
      <c r="E416" s="267"/>
      <c r="F416" s="267"/>
      <c r="G416" s="266"/>
      <c r="H416" s="266"/>
      <c r="I416" s="268"/>
      <c r="J416" s="268"/>
      <c r="K416" s="268"/>
    </row>
    <row r="417" spans="1:11" ht="18.75" customHeight="1">
      <c r="A417" s="266"/>
      <c r="B417" s="267"/>
      <c r="C417" s="267"/>
      <c r="D417" s="267"/>
      <c r="E417" s="267"/>
      <c r="F417" s="267"/>
      <c r="G417" s="266"/>
      <c r="H417" s="266"/>
      <c r="I417" s="268"/>
      <c r="J417" s="268"/>
      <c r="K417" s="268"/>
    </row>
    <row r="418" spans="1:11" ht="18.75" customHeight="1">
      <c r="A418" s="266"/>
      <c r="B418" s="267"/>
      <c r="C418" s="267"/>
      <c r="D418" s="267"/>
      <c r="E418" s="267"/>
      <c r="F418" s="267"/>
      <c r="G418" s="266"/>
      <c r="H418" s="266"/>
      <c r="I418" s="268"/>
      <c r="J418" s="268"/>
      <c r="K418" s="268"/>
    </row>
    <row r="419" spans="1:11" ht="18.75" customHeight="1">
      <c r="A419" s="266"/>
      <c r="B419" s="267"/>
      <c r="C419" s="267"/>
      <c r="D419" s="267"/>
      <c r="E419" s="267"/>
      <c r="F419" s="267"/>
      <c r="G419" s="266"/>
      <c r="H419" s="266"/>
      <c r="I419" s="268"/>
      <c r="J419" s="268"/>
      <c r="K419" s="268"/>
    </row>
    <row r="420" spans="1:11" ht="18.75" customHeight="1">
      <c r="A420" s="266"/>
      <c r="B420" s="267"/>
      <c r="C420" s="267"/>
      <c r="D420" s="267"/>
      <c r="E420" s="267"/>
      <c r="F420" s="267"/>
      <c r="G420" s="266"/>
      <c r="H420" s="266"/>
      <c r="I420" s="268"/>
      <c r="J420" s="268"/>
      <c r="K420" s="268"/>
    </row>
    <row r="421" spans="1:11" ht="18.75" customHeight="1">
      <c r="A421" s="266"/>
      <c r="B421" s="267"/>
      <c r="C421" s="267"/>
      <c r="D421" s="267"/>
      <c r="E421" s="267"/>
      <c r="F421" s="267"/>
      <c r="G421" s="266"/>
      <c r="H421" s="266"/>
      <c r="I421" s="268"/>
      <c r="J421" s="268"/>
      <c r="K421" s="268"/>
    </row>
    <row r="422" spans="1:11" ht="18.75" customHeight="1">
      <c r="A422" s="266"/>
      <c r="B422" s="267"/>
      <c r="C422" s="267"/>
      <c r="D422" s="267"/>
      <c r="E422" s="267"/>
      <c r="F422" s="267"/>
      <c r="G422" s="266"/>
      <c r="H422" s="266"/>
      <c r="I422" s="268"/>
      <c r="J422" s="268"/>
      <c r="K422" s="268"/>
    </row>
    <row r="423" spans="1:11" ht="18.75" customHeight="1">
      <c r="A423" s="266"/>
      <c r="B423" s="267"/>
      <c r="C423" s="267"/>
      <c r="D423" s="267"/>
      <c r="E423" s="267"/>
      <c r="F423" s="267"/>
      <c r="G423" s="266"/>
      <c r="H423" s="266"/>
      <c r="I423" s="268"/>
      <c r="J423" s="268"/>
      <c r="K423" s="268"/>
    </row>
    <row r="424" spans="1:11" ht="18.75" customHeight="1">
      <c r="A424" s="266"/>
      <c r="B424" s="267"/>
      <c r="C424" s="267"/>
      <c r="D424" s="267"/>
      <c r="E424" s="267"/>
      <c r="F424" s="267"/>
      <c r="G424" s="266"/>
      <c r="H424" s="266"/>
      <c r="I424" s="268"/>
      <c r="J424" s="268"/>
      <c r="K424" s="268"/>
    </row>
    <row r="425" spans="1:11" ht="18.75" customHeight="1">
      <c r="A425" s="266"/>
      <c r="B425" s="267"/>
      <c r="C425" s="267"/>
      <c r="D425" s="267"/>
      <c r="E425" s="267"/>
      <c r="F425" s="267"/>
      <c r="G425" s="266"/>
      <c r="H425" s="266"/>
      <c r="I425" s="268"/>
      <c r="J425" s="268"/>
      <c r="K425" s="268"/>
    </row>
    <row r="426" spans="1:11" ht="18.75" customHeight="1">
      <c r="A426" s="266"/>
      <c r="B426" s="267"/>
      <c r="C426" s="267"/>
      <c r="D426" s="267"/>
      <c r="E426" s="267"/>
      <c r="F426" s="267"/>
      <c r="G426" s="266"/>
      <c r="H426" s="266"/>
      <c r="I426" s="268"/>
      <c r="J426" s="268"/>
      <c r="K426" s="268"/>
    </row>
    <row r="427" spans="1:11" ht="18.75" customHeight="1">
      <c r="A427" s="266"/>
      <c r="B427" s="267"/>
      <c r="C427" s="267"/>
      <c r="D427" s="267"/>
      <c r="E427" s="267"/>
      <c r="F427" s="267"/>
      <c r="G427" s="266"/>
      <c r="H427" s="266"/>
      <c r="I427" s="268"/>
      <c r="J427" s="268"/>
      <c r="K427" s="268"/>
    </row>
    <row r="428" spans="1:11" ht="18.75" customHeight="1">
      <c r="A428" s="266"/>
      <c r="B428" s="267"/>
      <c r="C428" s="267"/>
      <c r="D428" s="267"/>
      <c r="E428" s="267"/>
      <c r="F428" s="267"/>
      <c r="G428" s="266"/>
      <c r="H428" s="266"/>
      <c r="I428" s="268"/>
      <c r="J428" s="268"/>
      <c r="K428" s="268"/>
    </row>
    <row r="429" spans="1:11" ht="18.75" customHeight="1">
      <c r="A429" s="266"/>
      <c r="B429" s="267"/>
      <c r="C429" s="267"/>
      <c r="D429" s="267"/>
      <c r="E429" s="267"/>
      <c r="F429" s="267"/>
      <c r="G429" s="266"/>
      <c r="H429" s="266"/>
      <c r="I429" s="268"/>
      <c r="J429" s="268"/>
      <c r="K429" s="268"/>
    </row>
    <row r="430" spans="1:11" ht="18.75" customHeight="1">
      <c r="A430" s="266"/>
      <c r="B430" s="267"/>
      <c r="C430" s="267"/>
      <c r="D430" s="267"/>
      <c r="E430" s="267"/>
      <c r="F430" s="267"/>
      <c r="G430" s="266"/>
      <c r="H430" s="266"/>
      <c r="I430" s="268"/>
      <c r="J430" s="268"/>
      <c r="K430" s="268"/>
    </row>
    <row r="431" spans="1:11" ht="18.75" customHeight="1">
      <c r="A431" s="266"/>
      <c r="B431" s="267"/>
      <c r="C431" s="267"/>
      <c r="D431" s="267"/>
      <c r="E431" s="267"/>
      <c r="F431" s="267"/>
      <c r="G431" s="266"/>
      <c r="H431" s="266"/>
      <c r="I431" s="268"/>
      <c r="J431" s="268"/>
      <c r="K431" s="268"/>
    </row>
    <row r="432" spans="1:11" ht="18.75" customHeight="1">
      <c r="A432" s="266"/>
      <c r="B432" s="267"/>
      <c r="C432" s="267"/>
      <c r="D432" s="267"/>
      <c r="E432" s="267"/>
      <c r="F432" s="267"/>
      <c r="G432" s="266"/>
      <c r="H432" s="266"/>
      <c r="I432" s="268"/>
      <c r="J432" s="268"/>
      <c r="K432" s="268"/>
    </row>
    <row r="433" spans="1:11" ht="18.75" customHeight="1">
      <c r="A433" s="266"/>
      <c r="B433" s="267"/>
      <c r="C433" s="267"/>
      <c r="D433" s="267"/>
      <c r="E433" s="267"/>
      <c r="F433" s="267"/>
      <c r="G433" s="266"/>
      <c r="H433" s="266"/>
      <c r="I433" s="268"/>
      <c r="J433" s="268"/>
      <c r="K433" s="268"/>
    </row>
    <row r="434" spans="1:11" ht="18.75" customHeight="1">
      <c r="A434" s="266"/>
      <c r="B434" s="267"/>
      <c r="C434" s="267"/>
      <c r="D434" s="267"/>
      <c r="E434" s="267"/>
      <c r="F434" s="267"/>
      <c r="G434" s="266"/>
      <c r="H434" s="266"/>
      <c r="I434" s="268"/>
      <c r="J434" s="268"/>
      <c r="K434" s="268"/>
    </row>
    <row r="435" spans="1:11" ht="18.75" customHeight="1">
      <c r="A435" s="266"/>
      <c r="B435" s="267"/>
      <c r="C435" s="267"/>
      <c r="D435" s="267"/>
      <c r="E435" s="267"/>
      <c r="F435" s="267"/>
      <c r="G435" s="266"/>
      <c r="H435" s="266"/>
      <c r="I435" s="268"/>
      <c r="J435" s="268"/>
      <c r="K435" s="268"/>
    </row>
    <row r="436" spans="1:11" ht="18.75" customHeight="1">
      <c r="A436" s="266"/>
      <c r="B436" s="267"/>
      <c r="C436" s="267"/>
      <c r="D436" s="267"/>
      <c r="E436" s="267"/>
      <c r="F436" s="267"/>
      <c r="G436" s="266"/>
      <c r="H436" s="266"/>
      <c r="I436" s="268"/>
      <c r="J436" s="268"/>
      <c r="K436" s="268"/>
    </row>
    <row r="437" spans="1:11" ht="18.75" customHeight="1">
      <c r="A437" s="266"/>
      <c r="B437" s="267"/>
      <c r="C437" s="267"/>
      <c r="D437" s="267"/>
      <c r="E437" s="267"/>
      <c r="F437" s="267"/>
      <c r="G437" s="266"/>
      <c r="H437" s="266"/>
      <c r="I437" s="268"/>
      <c r="J437" s="268"/>
      <c r="K437" s="268"/>
    </row>
    <row r="438" spans="1:11" ht="18.75" customHeight="1">
      <c r="A438" s="266"/>
      <c r="B438" s="267"/>
      <c r="C438" s="267"/>
      <c r="D438" s="267"/>
      <c r="E438" s="267"/>
      <c r="F438" s="267"/>
      <c r="G438" s="266"/>
      <c r="H438" s="266"/>
      <c r="I438" s="268"/>
      <c r="J438" s="268"/>
      <c r="K438" s="268"/>
    </row>
    <row r="439" spans="1:11" ht="7.5" customHeight="1">
      <c r="A439" s="259"/>
      <c r="B439" s="259"/>
      <c r="C439" s="259"/>
      <c r="D439" s="259"/>
      <c r="E439" s="259"/>
      <c r="F439" s="259"/>
      <c r="G439" s="259"/>
      <c r="H439" s="259"/>
      <c r="I439" s="259"/>
      <c r="J439" s="259"/>
      <c r="K439" s="259"/>
    </row>
    <row r="440" spans="1:11" ht="26.25" customHeight="1">
      <c r="A440" s="260" t="s">
        <v>684</v>
      </c>
      <c r="B440" s="260"/>
      <c r="C440" s="260"/>
      <c r="D440" s="260"/>
      <c r="E440" s="260"/>
      <c r="F440" s="260"/>
      <c r="G440" s="260"/>
      <c r="H440" s="260"/>
      <c r="I440" s="260"/>
      <c r="J440" s="260"/>
      <c r="K440" s="260"/>
    </row>
    <row r="441" spans="1:11" ht="18.75" customHeight="1">
      <c r="A441" s="261" t="s">
        <v>1086</v>
      </c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</row>
    <row r="442" spans="1:11" ht="18.75" customHeight="1">
      <c r="A442" s="262" t="s">
        <v>686</v>
      </c>
      <c r="B442" s="259" t="s">
        <v>681</v>
      </c>
      <c r="C442" s="259"/>
      <c r="D442" s="259"/>
      <c r="E442" s="259"/>
      <c r="F442" s="259"/>
      <c r="G442" s="259"/>
      <c r="H442" s="263" t="s">
        <v>687</v>
      </c>
      <c r="I442" s="263"/>
      <c r="J442" s="263"/>
      <c r="K442" s="263"/>
    </row>
    <row r="443" spans="1:11" ht="53.25" customHeight="1">
      <c r="A443" s="264" t="s">
        <v>688</v>
      </c>
      <c r="B443" s="265" t="s">
        <v>1017</v>
      </c>
      <c r="C443" s="265"/>
      <c r="D443" s="265"/>
      <c r="E443" s="265"/>
      <c r="F443" s="265"/>
      <c r="G443" s="265"/>
      <c r="H443" s="265"/>
      <c r="I443" s="265"/>
      <c r="J443" s="265"/>
      <c r="K443" s="265"/>
    </row>
    <row r="444" spans="1:12" ht="18.75" customHeight="1">
      <c r="A444" s="266" t="s">
        <v>28</v>
      </c>
      <c r="B444" s="266" t="s">
        <v>690</v>
      </c>
      <c r="C444" s="266" t="s">
        <v>650</v>
      </c>
      <c r="D444" s="266"/>
      <c r="E444" s="266"/>
      <c r="F444" s="266"/>
      <c r="G444" s="266" t="s">
        <v>651</v>
      </c>
      <c r="H444" s="266"/>
      <c r="I444" s="266" t="s">
        <v>691</v>
      </c>
      <c r="J444" s="266" t="s">
        <v>692</v>
      </c>
      <c r="K444" s="266" t="s">
        <v>693</v>
      </c>
    </row>
    <row r="445" spans="1:12" ht="18.75" customHeight="1">
      <c r="A445" s="266" t="s">
        <v>31</v>
      </c>
      <c r="B445" s="267" t="s">
        <v>694</v>
      </c>
      <c r="C445" s="267"/>
      <c r="D445" s="267"/>
      <c r="E445" s="267"/>
      <c r="F445" s="267"/>
      <c r="G445" s="266" t="s">
        <v>695</v>
      </c>
      <c r="H445" s="266"/>
      <c r="I445" s="268"/>
      <c r="J445" s="268"/>
      <c r="K445" s="380">
        <f>K446+K450+K456+K463+K464</f>
        <v>0</v>
      </c>
    </row>
    <row r="446" spans="1:12" ht="18.75" customHeight="1">
      <c r="A446" s="266" t="s">
        <v>76</v>
      </c>
      <c r="B446" s="267" t="s">
        <v>353</v>
      </c>
      <c r="C446" s="267"/>
      <c r="D446" s="267"/>
      <c r="E446" s="267"/>
      <c r="F446" s="267"/>
      <c r="G446" s="266" t="s">
        <v>695</v>
      </c>
      <c r="H446" s="266"/>
      <c r="I446" s="268"/>
      <c r="J446" s="268"/>
      <c r="K446" s="380">
        <f>SUM(K447:K449)</f>
        <v>0</v>
      </c>
    </row>
    <row r="447" spans="1:12" ht="18.75" customHeight="1">
      <c r="A447" s="266"/>
      <c r="B447" s="267" t="s">
        <v>698</v>
      </c>
      <c r="C447" s="267"/>
      <c r="D447" s="267"/>
      <c r="E447" s="267"/>
      <c r="F447" s="267"/>
      <c r="G447" s="266" t="s">
        <v>699</v>
      </c>
      <c r="H447" s="266"/>
      <c r="I447" s="268">
        <f>ROUND(1016,3)</f>
        <v>0</v>
      </c>
      <c r="J447" s="380">
        <v>3.46</v>
      </c>
      <c r="K447" s="380">
        <f>ROUND(I447*J447,2)</f>
        <v>0</v>
      </c>
    </row>
    <row r="448" spans="1:12" ht="18.75" customHeight="1">
      <c r="A448" s="266"/>
      <c r="B448" s="267" t="s">
        <v>698</v>
      </c>
      <c r="C448" s="267"/>
      <c r="D448" s="267"/>
      <c r="E448" s="267"/>
      <c r="F448" s="267"/>
      <c r="G448" s="266" t="s">
        <v>699</v>
      </c>
      <c r="H448" s="266"/>
      <c r="I448" s="268">
        <f>ROUND(242*1.03,3)</f>
        <v>0</v>
      </c>
      <c r="J448" s="380">
        <v>3.46</v>
      </c>
      <c r="K448" s="380">
        <f>ROUND(I448*J448,2)</f>
        <v>0</v>
      </c>
    </row>
    <row r="449" spans="1:12" ht="18.75" customHeight="1">
      <c r="A449" s="266"/>
      <c r="B449" s="267" t="s">
        <v>698</v>
      </c>
      <c r="C449" s="267"/>
      <c r="D449" s="267"/>
      <c r="E449" s="267"/>
      <c r="F449" s="267"/>
      <c r="G449" s="266" t="s">
        <v>699</v>
      </c>
      <c r="H449" s="266"/>
      <c r="I449" s="268">
        <f>ROUND(97*1.03,3)</f>
        <v>0</v>
      </c>
      <c r="J449" s="380">
        <v>3.46</v>
      </c>
      <c r="K449" s="380">
        <f>ROUND(I449*J449,2)</f>
        <v>0</v>
      </c>
    </row>
    <row r="450" spans="1:12" ht="18.75" customHeight="1">
      <c r="A450" s="266" t="s">
        <v>152</v>
      </c>
      <c r="B450" s="267" t="s">
        <v>354</v>
      </c>
      <c r="C450" s="267"/>
      <c r="D450" s="267"/>
      <c r="E450" s="267"/>
      <c r="F450" s="267"/>
      <c r="G450" s="266" t="s">
        <v>695</v>
      </c>
      <c r="H450" s="266"/>
      <c r="I450" s="268"/>
      <c r="J450" s="268"/>
      <c r="K450" s="380">
        <f>SUM(K451:K455)</f>
        <v>0</v>
      </c>
    </row>
    <row r="451" spans="1:12" ht="18.75" customHeight="1">
      <c r="A451" s="266"/>
      <c r="B451" s="267" t="s">
        <v>1027</v>
      </c>
      <c r="C451" s="267"/>
      <c r="D451" s="267"/>
      <c r="E451" s="267"/>
      <c r="F451" s="267"/>
      <c r="G451" s="266" t="s">
        <v>81</v>
      </c>
      <c r="H451" s="266"/>
      <c r="I451" s="268">
        <f>ROUND(120,3)</f>
        <v>0</v>
      </c>
      <c r="J451" s="380">
        <v>0.5</v>
      </c>
      <c r="K451" s="380">
        <f>ROUND(I451*J451,2)</f>
        <v>0</v>
      </c>
    </row>
    <row r="452" spans="1:12" ht="40.5" customHeight="1">
      <c r="A452" s="266"/>
      <c r="B452" s="267" t="s">
        <v>1089</v>
      </c>
      <c r="C452" s="267" t="s">
        <v>1090</v>
      </c>
      <c r="D452" s="267"/>
      <c r="E452" s="267"/>
      <c r="F452" s="267"/>
      <c r="G452" s="266" t="s">
        <v>81</v>
      </c>
      <c r="H452" s="266"/>
      <c r="I452" s="268">
        <f>ROUND(103,3)</f>
        <v>0</v>
      </c>
      <c r="J452" s="380">
        <v>121.49</v>
      </c>
      <c r="K452" s="380">
        <f>ROUND(I452*J452,2)</f>
        <v>0</v>
      </c>
    </row>
    <row r="453" spans="1:12" ht="18.75" customHeight="1">
      <c r="A453" s="266"/>
      <c r="B453" s="267" t="s">
        <v>828</v>
      </c>
      <c r="C453" s="267"/>
      <c r="D453" s="267"/>
      <c r="E453" s="267"/>
      <c r="F453" s="267"/>
      <c r="G453" s="266" t="s">
        <v>334</v>
      </c>
      <c r="H453" s="266"/>
      <c r="I453" s="268">
        <f>ROUND(2,3)</f>
        <v>0</v>
      </c>
      <c r="J453" s="380">
        <f>K451+K452</f>
        <v>0</v>
      </c>
      <c r="K453" s="380">
        <f>ROUND(I453*J453/100,2)</f>
        <v>0</v>
      </c>
    </row>
    <row r="454" spans="1:12" ht="18.75" customHeight="1">
      <c r="A454" s="266"/>
      <c r="B454" s="267" t="s">
        <v>702</v>
      </c>
      <c r="C454" s="267"/>
      <c r="D454" s="267"/>
      <c r="E454" s="267"/>
      <c r="F454" s="267"/>
      <c r="G454" s="266" t="s">
        <v>334</v>
      </c>
      <c r="H454" s="266"/>
      <c r="I454" s="268">
        <f>ROUND(2,3)</f>
        <v>0</v>
      </c>
      <c r="J454" s="380">
        <f>K448+K460+K461</f>
        <v>0</v>
      </c>
      <c r="K454" s="380">
        <f>ROUND(I454*J454/100,2)</f>
        <v>0</v>
      </c>
    </row>
    <row r="455" spans="1:12" ht="18.75" customHeight="1">
      <c r="A455" s="266"/>
      <c r="B455" s="267" t="s">
        <v>702</v>
      </c>
      <c r="C455" s="267"/>
      <c r="D455" s="267"/>
      <c r="E455" s="267"/>
      <c r="F455" s="267"/>
      <c r="G455" s="266" t="s">
        <v>334</v>
      </c>
      <c r="H455" s="266"/>
      <c r="I455" s="268">
        <f>ROUND(6,3)</f>
        <v>0</v>
      </c>
      <c r="J455" s="380">
        <f>K449+K462</f>
        <v>0</v>
      </c>
      <c r="K455" s="380">
        <f>ROUND(I455*J455/100,2)</f>
        <v>0</v>
      </c>
    </row>
    <row r="456" spans="1:12" ht="18.75" customHeight="1">
      <c r="A456" s="266" t="s">
        <v>704</v>
      </c>
      <c r="B456" s="267" t="s">
        <v>705</v>
      </c>
      <c r="C456" s="267"/>
      <c r="D456" s="267"/>
      <c r="E456" s="267"/>
      <c r="F456" s="267"/>
      <c r="G456" s="266" t="s">
        <v>695</v>
      </c>
      <c r="H456" s="266"/>
      <c r="I456" s="268"/>
      <c r="J456" s="268"/>
      <c r="K456" s="380">
        <f>SUM(K457:K462)</f>
        <v>0</v>
      </c>
    </row>
    <row r="457" spans="1:12" ht="18.75" customHeight="1">
      <c r="A457" s="266"/>
      <c r="B457" s="267" t="s">
        <v>1041</v>
      </c>
      <c r="C457" s="267" t="s">
        <v>1042</v>
      </c>
      <c r="D457" s="267"/>
      <c r="E457" s="267"/>
      <c r="F457" s="267"/>
      <c r="G457" s="266" t="s">
        <v>709</v>
      </c>
      <c r="H457" s="266"/>
      <c r="I457" s="268">
        <f>ROUND(35.6,3)</f>
        <v>0</v>
      </c>
      <c r="J457" s="380">
        <v>2.07</v>
      </c>
      <c r="K457" s="380">
        <f>ROUND(I457*J457,2)</f>
        <v>0</v>
      </c>
    </row>
    <row r="458" spans="1:12" ht="18.75" customHeight="1">
      <c r="A458" s="266"/>
      <c r="B458" s="267" t="s">
        <v>1046</v>
      </c>
      <c r="C458" s="267" t="s">
        <v>1047</v>
      </c>
      <c r="D458" s="267"/>
      <c r="E458" s="267"/>
      <c r="F458" s="267"/>
      <c r="G458" s="266" t="s">
        <v>709</v>
      </c>
      <c r="H458" s="266"/>
      <c r="I458" s="268">
        <f>ROUND(7.44,3)</f>
        <v>0</v>
      </c>
      <c r="J458" s="380">
        <v>33.03</v>
      </c>
      <c r="K458" s="380">
        <f>ROUND(I458*J458,2)</f>
        <v>0</v>
      </c>
    </row>
    <row r="459" spans="1:12" ht="18.75" customHeight="1">
      <c r="A459" s="266"/>
      <c r="B459" s="267" t="s">
        <v>883</v>
      </c>
      <c r="C459" s="267"/>
      <c r="D459" s="267"/>
      <c r="E459" s="267"/>
      <c r="F459" s="267"/>
      <c r="G459" s="266" t="s">
        <v>334</v>
      </c>
      <c r="H459" s="266"/>
      <c r="I459" s="268">
        <f>ROUND(10,3)</f>
        <v>0</v>
      </c>
      <c r="J459" s="380">
        <f>K457+K458</f>
        <v>0</v>
      </c>
      <c r="K459" s="380">
        <f>ROUND(I459*J459/100,2)</f>
        <v>0</v>
      </c>
    </row>
    <row r="460" spans="1:12" ht="18.75" customHeight="1">
      <c r="A460" s="266"/>
      <c r="B460" s="267" t="s">
        <v>1053</v>
      </c>
      <c r="C460" s="267" t="s">
        <v>1054</v>
      </c>
      <c r="D460" s="267"/>
      <c r="E460" s="267"/>
      <c r="F460" s="267"/>
      <c r="G460" s="266" t="s">
        <v>709</v>
      </c>
      <c r="H460" s="266"/>
      <c r="I460" s="268">
        <f>ROUND(18*1.03,3)</f>
        <v>0</v>
      </c>
      <c r="J460" s="380">
        <v>20.6</v>
      </c>
      <c r="K460" s="380">
        <f>ROUND(I460*J460,2)</f>
        <v>0</v>
      </c>
    </row>
    <row r="461" spans="1:12" ht="18.75" customHeight="1">
      <c r="A461" s="266"/>
      <c r="B461" s="267" t="s">
        <v>998</v>
      </c>
      <c r="C461" s="267"/>
      <c r="D461" s="267"/>
      <c r="E461" s="267"/>
      <c r="F461" s="267"/>
      <c r="G461" s="266" t="s">
        <v>709</v>
      </c>
      <c r="H461" s="266"/>
      <c r="I461" s="268">
        <f>ROUND(83*1.03,3)</f>
        <v>0</v>
      </c>
      <c r="J461" s="380">
        <v>0.82</v>
      </c>
      <c r="K461" s="380">
        <f>ROUND(I461*J461,2)</f>
        <v>0</v>
      </c>
    </row>
    <row r="462" spans="1:12" ht="18.75" customHeight="1">
      <c r="A462" s="266"/>
      <c r="B462" s="267" t="s">
        <v>998</v>
      </c>
      <c r="C462" s="267"/>
      <c r="D462" s="267"/>
      <c r="E462" s="267"/>
      <c r="F462" s="267"/>
      <c r="G462" s="266" t="s">
        <v>709</v>
      </c>
      <c r="H462" s="266"/>
      <c r="I462" s="268">
        <f>ROUND(117.5*1.03,3)</f>
        <v>0</v>
      </c>
      <c r="J462" s="380">
        <v>0.82</v>
      </c>
      <c r="K462" s="380">
        <f>ROUND(I462*J462,2)</f>
        <v>0</v>
      </c>
    </row>
    <row r="463" spans="1:12" ht="18.75" customHeight="1">
      <c r="A463" s="266" t="s">
        <v>721</v>
      </c>
      <c r="B463" s="267" t="s">
        <v>722</v>
      </c>
      <c r="C463" s="267"/>
      <c r="D463" s="267"/>
      <c r="E463" s="267"/>
      <c r="F463" s="267"/>
      <c r="G463" s="266" t="s">
        <v>695</v>
      </c>
      <c r="H463" s="266"/>
      <c r="I463" s="268">
        <f>3.5&amp;"%"</f>
        <v>0</v>
      </c>
      <c r="J463" s="380">
        <f>K446+K450+K456</f>
        <v>0</v>
      </c>
      <c r="K463" s="380">
        <f>ROUND(I463*J463,2)</f>
        <v>0</v>
      </c>
    </row>
    <row r="464" spans="1:12" ht="18.75" customHeight="1">
      <c r="A464" s="266" t="s">
        <v>348</v>
      </c>
      <c r="B464" s="267" t="s">
        <v>726</v>
      </c>
      <c r="C464" s="267"/>
      <c r="D464" s="267"/>
      <c r="E464" s="267"/>
      <c r="F464" s="267"/>
      <c r="G464" s="266" t="s">
        <v>695</v>
      </c>
      <c r="H464" s="266"/>
      <c r="I464" s="268">
        <f>6&amp;"%"</f>
        <v>0</v>
      </c>
      <c r="J464" s="380">
        <f>K446+K450+K456</f>
        <v>0</v>
      </c>
      <c r="K464" s="380">
        <f>ROUND(I464*J464,2)</f>
        <v>0</v>
      </c>
    </row>
    <row r="465" spans="1:12" ht="18.75" customHeight="1">
      <c r="A465" s="266" t="s">
        <v>34</v>
      </c>
      <c r="B465" s="267" t="s">
        <v>729</v>
      </c>
      <c r="C465" s="267"/>
      <c r="D465" s="267"/>
      <c r="E465" s="267"/>
      <c r="F465" s="267"/>
      <c r="G465" s="266" t="s">
        <v>695</v>
      </c>
      <c r="H465" s="266"/>
      <c r="I465" s="268">
        <f>3.7&amp;"%"</f>
        <v>0</v>
      </c>
      <c r="J465" s="380">
        <f>K445</f>
        <v>0</v>
      </c>
      <c r="K465" s="380">
        <f>ROUND(I465*J465,2)</f>
        <v>0</v>
      </c>
    </row>
    <row r="466" spans="1:12" ht="18.75" customHeight="1">
      <c r="A466" s="266" t="s">
        <v>37</v>
      </c>
      <c r="B466" s="267" t="s">
        <v>732</v>
      </c>
      <c r="C466" s="267"/>
      <c r="D466" s="267"/>
      <c r="E466" s="267"/>
      <c r="F466" s="267"/>
      <c r="G466" s="266" t="s">
        <v>695</v>
      </c>
      <c r="H466" s="266"/>
      <c r="I466" s="268">
        <f>32.8&amp;"%"</f>
        <v>0</v>
      </c>
      <c r="J466" s="380">
        <f>K446+ROUND(I460*1.3*3.46,2)</f>
        <v>0</v>
      </c>
      <c r="K466" s="380">
        <f>ROUND(I466*J466,2)</f>
        <v>0</v>
      </c>
    </row>
    <row r="467" spans="1:12" ht="18.75" customHeight="1">
      <c r="A467" s="266" t="s">
        <v>40</v>
      </c>
      <c r="B467" s="267" t="s">
        <v>736</v>
      </c>
      <c r="C467" s="267"/>
      <c r="D467" s="267"/>
      <c r="E467" s="267"/>
      <c r="F467" s="267"/>
      <c r="G467" s="266" t="s">
        <v>695</v>
      </c>
      <c r="H467" s="266"/>
      <c r="I467" s="268">
        <f>7&amp;"%"</f>
        <v>0</v>
      </c>
      <c r="J467" s="380">
        <f>K445+K465+K466</f>
        <v>0</v>
      </c>
      <c r="K467" s="380">
        <f>ROUND(I467*J467,2)</f>
        <v>0</v>
      </c>
    </row>
    <row r="468" spans="1:12" ht="18.75" customHeight="1">
      <c r="A468" s="266" t="s">
        <v>43</v>
      </c>
      <c r="B468" s="267" t="s">
        <v>361</v>
      </c>
      <c r="C468" s="267"/>
      <c r="D468" s="267"/>
      <c r="E468" s="267"/>
      <c r="F468" s="267"/>
      <c r="G468" s="266" t="s">
        <v>695</v>
      </c>
      <c r="H468" s="266"/>
      <c r="I468" s="268"/>
      <c r="J468" s="268"/>
      <c r="K468" s="380">
        <f>SUM(K469:K479)</f>
        <v>0</v>
      </c>
    </row>
    <row r="469" spans="1:12" ht="18.75" customHeight="1">
      <c r="A469" s="266"/>
      <c r="B469" s="267" t="s">
        <v>698</v>
      </c>
      <c r="C469" s="267"/>
      <c r="D469" s="267"/>
      <c r="E469" s="267"/>
      <c r="F469" s="267"/>
      <c r="G469" s="266" t="s">
        <v>699</v>
      </c>
      <c r="H469" s="266"/>
      <c r="I469" s="268">
        <f>ROUND(I447+I448+I449,3)</f>
        <v>0</v>
      </c>
      <c r="J469" s="380">
        <v>4</v>
      </c>
      <c r="K469" s="380">
        <f>ROUND(I469*J469,2)</f>
        <v>0</v>
      </c>
    </row>
    <row r="470" spans="1:12" ht="18.75" customHeight="1">
      <c r="A470" s="266"/>
      <c r="B470" s="267" t="s">
        <v>741</v>
      </c>
      <c r="C470" s="267"/>
      <c r="D470" s="267"/>
      <c r="E470" s="267"/>
      <c r="F470" s="267"/>
      <c r="G470" s="266" t="s">
        <v>699</v>
      </c>
      <c r="H470" s="266"/>
      <c r="I470" s="268">
        <f>ROUND(I460*1.3,3)</f>
        <v>0</v>
      </c>
      <c r="J470" s="380">
        <v>4</v>
      </c>
      <c r="K470" s="380">
        <f>ROUND(I470*J470,2)</f>
        <v>0</v>
      </c>
    </row>
    <row r="471" spans="1:12" ht="18.75" customHeight="1">
      <c r="A471" s="266"/>
      <c r="B471" s="267" t="s">
        <v>658</v>
      </c>
      <c r="C471" s="267" t="s">
        <v>659</v>
      </c>
      <c r="D471" s="267"/>
      <c r="E471" s="267"/>
      <c r="F471" s="267"/>
      <c r="G471" s="266" t="s">
        <v>149</v>
      </c>
      <c r="H471" s="266"/>
      <c r="I471" s="268">
        <f>ROUND(I452*317.9*0.001,3)</f>
        <v>0</v>
      </c>
      <c r="J471" s="380">
        <v>206.26</v>
      </c>
      <c r="K471" s="380">
        <f>ROUND(I471*J471,2)</f>
        <v>0</v>
      </c>
    </row>
    <row r="472" spans="1:12" ht="18.75" customHeight="1">
      <c r="A472" s="266"/>
      <c r="B472" s="267" t="s">
        <v>661</v>
      </c>
      <c r="C472" s="267"/>
      <c r="D472" s="267"/>
      <c r="E472" s="267"/>
      <c r="F472" s="267"/>
      <c r="G472" s="266" t="s">
        <v>81</v>
      </c>
      <c r="H472" s="266"/>
      <c r="I472" s="268">
        <f>ROUND(I452*0.8586,3)</f>
        <v>0</v>
      </c>
      <c r="J472" s="380">
        <v>102.44</v>
      </c>
      <c r="K472" s="380">
        <f>ROUND(I472*J472,2)</f>
        <v>0</v>
      </c>
    </row>
    <row r="473" spans="1:11" ht="7.5" customHeight="1">
      <c r="A473" s="259"/>
      <c r="B473" s="259"/>
      <c r="C473" s="259"/>
      <c r="D473" s="259"/>
      <c r="E473" s="259"/>
      <c r="F473" s="259"/>
      <c r="G473" s="259"/>
      <c r="H473" s="259"/>
      <c r="I473" s="259"/>
      <c r="J473" s="259"/>
      <c r="K473" s="259"/>
    </row>
    <row r="474" spans="1:11" ht="26.25" customHeight="1">
      <c r="A474" s="260" t="s">
        <v>684</v>
      </c>
      <c r="B474" s="260"/>
      <c r="C474" s="260"/>
      <c r="D474" s="260"/>
      <c r="E474" s="260"/>
      <c r="F474" s="260"/>
      <c r="G474" s="260"/>
      <c r="H474" s="260"/>
      <c r="I474" s="260"/>
      <c r="J474" s="260"/>
      <c r="K474" s="260"/>
    </row>
    <row r="475" spans="1:11" ht="18.75" customHeight="1">
      <c r="A475" s="261" t="s">
        <v>1086</v>
      </c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</row>
    <row r="476" spans="1:11" ht="18.75" customHeight="1">
      <c r="A476" s="262" t="s">
        <v>686</v>
      </c>
      <c r="B476" s="259" t="s">
        <v>681</v>
      </c>
      <c r="C476" s="259"/>
      <c r="D476" s="259"/>
      <c r="E476" s="259"/>
      <c r="F476" s="259"/>
      <c r="G476" s="259"/>
      <c r="H476" s="263" t="s">
        <v>687</v>
      </c>
      <c r="I476" s="263"/>
      <c r="J476" s="263"/>
      <c r="K476" s="263"/>
    </row>
    <row r="477" spans="1:11" ht="53.25" customHeight="1">
      <c r="A477" s="264" t="s">
        <v>688</v>
      </c>
      <c r="B477" s="265" t="s">
        <v>1017</v>
      </c>
      <c r="C477" s="265"/>
      <c r="D477" s="265"/>
      <c r="E477" s="265"/>
      <c r="F477" s="265"/>
      <c r="G477" s="265"/>
      <c r="H477" s="265"/>
      <c r="I477" s="265"/>
      <c r="J477" s="265"/>
      <c r="K477" s="265"/>
    </row>
    <row r="478" spans="1:12" ht="18.75" customHeight="1">
      <c r="A478" s="266" t="s">
        <v>28</v>
      </c>
      <c r="B478" s="266" t="s">
        <v>690</v>
      </c>
      <c r="C478" s="266" t="s">
        <v>650</v>
      </c>
      <c r="D478" s="266"/>
      <c r="E478" s="266"/>
      <c r="F478" s="266"/>
      <c r="G478" s="266" t="s">
        <v>651</v>
      </c>
      <c r="H478" s="266"/>
      <c r="I478" s="266" t="s">
        <v>691</v>
      </c>
      <c r="J478" s="266" t="s">
        <v>692</v>
      </c>
      <c r="K478" s="266" t="s">
        <v>693</v>
      </c>
    </row>
    <row r="479" spans="1:12" ht="18.75" customHeight="1">
      <c r="A479" s="266"/>
      <c r="B479" s="267" t="s">
        <v>682</v>
      </c>
      <c r="C479" s="267"/>
      <c r="D479" s="267"/>
      <c r="E479" s="267"/>
      <c r="F479" s="267"/>
      <c r="G479" s="266" t="s">
        <v>81</v>
      </c>
      <c r="H479" s="266"/>
      <c r="I479" s="268">
        <f>ROUND(I452*0.539,3)</f>
        <v>0</v>
      </c>
      <c r="J479" s="380">
        <v>142.25</v>
      </c>
      <c r="K479" s="380">
        <f>ROUND(I479*J479,2)</f>
        <v>0</v>
      </c>
    </row>
    <row r="480" spans="1:12" ht="18.75" customHeight="1">
      <c r="A480" s="266" t="s">
        <v>46</v>
      </c>
      <c r="B480" s="267" t="s">
        <v>362</v>
      </c>
      <c r="C480" s="267"/>
      <c r="D480" s="267"/>
      <c r="E480" s="267"/>
      <c r="F480" s="267"/>
      <c r="G480" s="266" t="s">
        <v>695</v>
      </c>
      <c r="H480" s="266"/>
      <c r="I480" s="268">
        <f>0&amp;"%"</f>
        <v>0</v>
      </c>
      <c r="J480" s="380">
        <f>K445+K465+K466+K467+K468</f>
        <v>0</v>
      </c>
      <c r="K480" s="380">
        <f>ROUND(I480*J480,2)</f>
        <v>0</v>
      </c>
    </row>
    <row r="481" spans="1:12" ht="18.75" customHeight="1">
      <c r="A481" s="266" t="s">
        <v>49</v>
      </c>
      <c r="B481" s="267" t="s">
        <v>363</v>
      </c>
      <c r="C481" s="267"/>
      <c r="D481" s="267"/>
      <c r="E481" s="267"/>
      <c r="F481" s="267"/>
      <c r="G481" s="266" t="s">
        <v>695</v>
      </c>
      <c r="H481" s="266"/>
      <c r="I481" s="268">
        <f>9&amp;"%"</f>
        <v>0</v>
      </c>
      <c r="J481" s="380">
        <f>K445+K465+K466+K467+K468+K480</f>
        <v>0</v>
      </c>
      <c r="K481" s="380">
        <f>ROUND(I481*J481,2)</f>
        <v>0</v>
      </c>
    </row>
    <row r="482" spans="1:12" ht="18.75" customHeight="1">
      <c r="A482" s="266"/>
      <c r="B482" s="267" t="s">
        <v>64</v>
      </c>
      <c r="C482" s="267"/>
      <c r="D482" s="267"/>
      <c r="E482" s="267"/>
      <c r="F482" s="267"/>
      <c r="G482" s="266" t="s">
        <v>695</v>
      </c>
      <c r="H482" s="266"/>
      <c r="I482" s="268"/>
      <c r="J482" s="268"/>
      <c r="K482" s="380">
        <f>K445+K465+K466+K467+K468+K480+K481</f>
        <v>0</v>
      </c>
    </row>
    <row r="483" spans="1:12" ht="18.75" customHeight="1">
      <c r="A483" s="266"/>
      <c r="B483" s="267" t="s">
        <v>752</v>
      </c>
      <c r="C483" s="267"/>
      <c r="D483" s="267"/>
      <c r="E483" s="267"/>
      <c r="F483" s="267"/>
      <c r="G483" s="266" t="s">
        <v>695</v>
      </c>
      <c r="H483" s="266"/>
      <c r="I483" s="268"/>
      <c r="J483" s="268"/>
      <c r="K483" s="380">
        <f>ROUND(K482/100,2)</f>
        <v>0</v>
      </c>
    </row>
    <row r="484" spans="1:11" ht="18.75" customHeight="1">
      <c r="A484" s="266"/>
      <c r="B484" s="267"/>
      <c r="C484" s="267"/>
      <c r="D484" s="267"/>
      <c r="E484" s="267"/>
      <c r="F484" s="267"/>
      <c r="G484" s="266"/>
      <c r="H484" s="266"/>
      <c r="I484" s="268"/>
      <c r="J484" s="268"/>
      <c r="K484" s="268"/>
    </row>
    <row r="485" spans="1:11" ht="18.75" customHeight="1">
      <c r="A485" s="266"/>
      <c r="B485" s="267"/>
      <c r="C485" s="267"/>
      <c r="D485" s="267"/>
      <c r="E485" s="267"/>
      <c r="F485" s="267"/>
      <c r="G485" s="266"/>
      <c r="H485" s="266"/>
      <c r="I485" s="268"/>
      <c r="J485" s="268"/>
      <c r="K485" s="268"/>
    </row>
    <row r="486" spans="1:11" ht="18.75" customHeight="1">
      <c r="A486" s="266"/>
      <c r="B486" s="267"/>
      <c r="C486" s="267"/>
      <c r="D486" s="267"/>
      <c r="E486" s="267"/>
      <c r="F486" s="267"/>
      <c r="G486" s="266"/>
      <c r="H486" s="266"/>
      <c r="I486" s="268"/>
      <c r="J486" s="268"/>
      <c r="K486" s="268"/>
    </row>
    <row r="487" spans="1:11" ht="18.75" customHeight="1">
      <c r="A487" s="266"/>
      <c r="B487" s="267"/>
      <c r="C487" s="267"/>
      <c r="D487" s="267"/>
      <c r="E487" s="267"/>
      <c r="F487" s="267"/>
      <c r="G487" s="266"/>
      <c r="H487" s="266"/>
      <c r="I487" s="268"/>
      <c r="J487" s="268"/>
      <c r="K487" s="268"/>
    </row>
    <row r="488" spans="1:11" ht="18.75" customHeight="1">
      <c r="A488" s="266"/>
      <c r="B488" s="267"/>
      <c r="C488" s="267"/>
      <c r="D488" s="267"/>
      <c r="E488" s="267"/>
      <c r="F488" s="267"/>
      <c r="G488" s="266"/>
      <c r="H488" s="266"/>
      <c r="I488" s="268"/>
      <c r="J488" s="268"/>
      <c r="K488" s="268"/>
    </row>
    <row r="489" spans="1:11" ht="18.75" customHeight="1">
      <c r="A489" s="266"/>
      <c r="B489" s="267"/>
      <c r="C489" s="267"/>
      <c r="D489" s="267"/>
      <c r="E489" s="267"/>
      <c r="F489" s="267"/>
      <c r="G489" s="266"/>
      <c r="H489" s="266"/>
      <c r="I489" s="268"/>
      <c r="J489" s="268"/>
      <c r="K489" s="268"/>
    </row>
    <row r="490" spans="1:11" ht="18.75" customHeight="1">
      <c r="A490" s="266"/>
      <c r="B490" s="267"/>
      <c r="C490" s="267"/>
      <c r="D490" s="267"/>
      <c r="E490" s="267"/>
      <c r="F490" s="267"/>
      <c r="G490" s="266"/>
      <c r="H490" s="266"/>
      <c r="I490" s="268"/>
      <c r="J490" s="268"/>
      <c r="K490" s="268"/>
    </row>
    <row r="491" spans="1:11" ht="18.75" customHeight="1">
      <c r="A491" s="266"/>
      <c r="B491" s="267"/>
      <c r="C491" s="267"/>
      <c r="D491" s="267"/>
      <c r="E491" s="267"/>
      <c r="F491" s="267"/>
      <c r="G491" s="266"/>
      <c r="H491" s="266"/>
      <c r="I491" s="268"/>
      <c r="J491" s="268"/>
      <c r="K491" s="268"/>
    </row>
    <row r="492" spans="1:11" ht="18.75" customHeight="1">
      <c r="A492" s="266"/>
      <c r="B492" s="267"/>
      <c r="C492" s="267"/>
      <c r="D492" s="267"/>
      <c r="E492" s="267"/>
      <c r="F492" s="267"/>
      <c r="G492" s="266"/>
      <c r="H492" s="266"/>
      <c r="I492" s="268"/>
      <c r="J492" s="268"/>
      <c r="K492" s="268"/>
    </row>
    <row r="493" spans="1:11" ht="18.75" customHeight="1">
      <c r="A493" s="266"/>
      <c r="B493" s="267"/>
      <c r="C493" s="267"/>
      <c r="D493" s="267"/>
      <c r="E493" s="267"/>
      <c r="F493" s="267"/>
      <c r="G493" s="266"/>
      <c r="H493" s="266"/>
      <c r="I493" s="268"/>
      <c r="J493" s="268"/>
      <c r="K493" s="268"/>
    </row>
    <row r="494" spans="1:11" ht="18.75" customHeight="1">
      <c r="A494" s="266"/>
      <c r="B494" s="267"/>
      <c r="C494" s="267"/>
      <c r="D494" s="267"/>
      <c r="E494" s="267"/>
      <c r="F494" s="267"/>
      <c r="G494" s="266"/>
      <c r="H494" s="266"/>
      <c r="I494" s="268"/>
      <c r="J494" s="268"/>
      <c r="K494" s="268"/>
    </row>
    <row r="495" spans="1:11" ht="18.75" customHeight="1">
      <c r="A495" s="266"/>
      <c r="B495" s="267"/>
      <c r="C495" s="267"/>
      <c r="D495" s="267"/>
      <c r="E495" s="267"/>
      <c r="F495" s="267"/>
      <c r="G495" s="266"/>
      <c r="H495" s="266"/>
      <c r="I495" s="268"/>
      <c r="J495" s="268"/>
      <c r="K495" s="268"/>
    </row>
    <row r="496" spans="1:11" ht="18.75" customHeight="1">
      <c r="A496" s="266"/>
      <c r="B496" s="267"/>
      <c r="C496" s="267"/>
      <c r="D496" s="267"/>
      <c r="E496" s="267"/>
      <c r="F496" s="267"/>
      <c r="G496" s="266"/>
      <c r="H496" s="266"/>
      <c r="I496" s="268"/>
      <c r="J496" s="268"/>
      <c r="K496" s="268"/>
    </row>
    <row r="497" spans="1:11" ht="18.75" customHeight="1">
      <c r="A497" s="266"/>
      <c r="B497" s="267"/>
      <c r="C497" s="267"/>
      <c r="D497" s="267"/>
      <c r="E497" s="267"/>
      <c r="F497" s="267"/>
      <c r="G497" s="266"/>
      <c r="H497" s="266"/>
      <c r="I497" s="268"/>
      <c r="J497" s="268"/>
      <c r="K497" s="268"/>
    </row>
    <row r="498" spans="1:11" ht="18.75" customHeight="1">
      <c r="A498" s="266"/>
      <c r="B498" s="267"/>
      <c r="C498" s="267"/>
      <c r="D498" s="267"/>
      <c r="E498" s="267"/>
      <c r="F498" s="267"/>
      <c r="G498" s="266"/>
      <c r="H498" s="266"/>
      <c r="I498" s="268"/>
      <c r="J498" s="268"/>
      <c r="K498" s="268"/>
    </row>
    <row r="499" spans="1:11" ht="18.75" customHeight="1">
      <c r="A499" s="266"/>
      <c r="B499" s="267"/>
      <c r="C499" s="267"/>
      <c r="D499" s="267"/>
      <c r="E499" s="267"/>
      <c r="F499" s="267"/>
      <c r="G499" s="266"/>
      <c r="H499" s="266"/>
      <c r="I499" s="268"/>
      <c r="J499" s="268"/>
      <c r="K499" s="268"/>
    </row>
    <row r="500" spans="1:11" ht="18.75" customHeight="1">
      <c r="A500" s="266"/>
      <c r="B500" s="267"/>
      <c r="C500" s="267"/>
      <c r="D500" s="267"/>
      <c r="E500" s="267"/>
      <c r="F500" s="267"/>
      <c r="G500" s="266"/>
      <c r="H500" s="266"/>
      <c r="I500" s="268"/>
      <c r="J500" s="268"/>
      <c r="K500" s="268"/>
    </row>
    <row r="501" spans="1:11" ht="18.75" customHeight="1">
      <c r="A501" s="266"/>
      <c r="B501" s="267"/>
      <c r="C501" s="267"/>
      <c r="D501" s="267"/>
      <c r="E501" s="267"/>
      <c r="F501" s="267"/>
      <c r="G501" s="266"/>
      <c r="H501" s="266"/>
      <c r="I501" s="268"/>
      <c r="J501" s="268"/>
      <c r="K501" s="268"/>
    </row>
    <row r="502" spans="1:11" ht="18.75" customHeight="1">
      <c r="A502" s="266"/>
      <c r="B502" s="267"/>
      <c r="C502" s="267"/>
      <c r="D502" s="267"/>
      <c r="E502" s="267"/>
      <c r="F502" s="267"/>
      <c r="G502" s="266"/>
      <c r="H502" s="266"/>
      <c r="I502" s="268"/>
      <c r="J502" s="268"/>
      <c r="K502" s="268"/>
    </row>
    <row r="503" spans="1:11" ht="18.75" customHeight="1">
      <c r="A503" s="266"/>
      <c r="B503" s="267"/>
      <c r="C503" s="267"/>
      <c r="D503" s="267"/>
      <c r="E503" s="267"/>
      <c r="F503" s="267"/>
      <c r="G503" s="266"/>
      <c r="H503" s="266"/>
      <c r="I503" s="268"/>
      <c r="J503" s="268"/>
      <c r="K503" s="268"/>
    </row>
    <row r="504" spans="1:11" ht="18.75" customHeight="1">
      <c r="A504" s="266"/>
      <c r="B504" s="267"/>
      <c r="C504" s="267"/>
      <c r="D504" s="267"/>
      <c r="E504" s="267"/>
      <c r="F504" s="267"/>
      <c r="G504" s="266"/>
      <c r="H504" s="266"/>
      <c r="I504" s="268"/>
      <c r="J504" s="268"/>
      <c r="K504" s="268"/>
    </row>
    <row r="505" spans="1:11" ht="18.75" customHeight="1">
      <c r="A505" s="266"/>
      <c r="B505" s="267"/>
      <c r="C505" s="267"/>
      <c r="D505" s="267"/>
      <c r="E505" s="267"/>
      <c r="F505" s="267"/>
      <c r="G505" s="266"/>
      <c r="H505" s="266"/>
      <c r="I505" s="268"/>
      <c r="J505" s="268"/>
      <c r="K505" s="268"/>
    </row>
    <row r="506" spans="1:11" ht="18.75" customHeight="1">
      <c r="A506" s="266"/>
      <c r="B506" s="267"/>
      <c r="C506" s="267"/>
      <c r="D506" s="267"/>
      <c r="E506" s="267"/>
      <c r="F506" s="267"/>
      <c r="G506" s="266"/>
      <c r="H506" s="266"/>
      <c r="I506" s="268"/>
      <c r="J506" s="268"/>
      <c r="K506" s="268"/>
    </row>
    <row r="507" spans="1:11" ht="18.75" customHeight="1">
      <c r="A507" s="266"/>
      <c r="B507" s="267"/>
      <c r="C507" s="267"/>
      <c r="D507" s="267"/>
      <c r="E507" s="267"/>
      <c r="F507" s="267"/>
      <c r="G507" s="266"/>
      <c r="H507" s="266"/>
      <c r="I507" s="268"/>
      <c r="J507" s="268"/>
      <c r="K507" s="268"/>
    </row>
    <row r="508" spans="1:11" ht="7.5" customHeight="1">
      <c r="A508" s="259"/>
      <c r="B508" s="259"/>
      <c r="C508" s="259"/>
      <c r="D508" s="259"/>
      <c r="E508" s="259"/>
      <c r="F508" s="259"/>
      <c r="G508" s="259"/>
      <c r="H508" s="259"/>
      <c r="I508" s="259"/>
      <c r="J508" s="259"/>
      <c r="K508" s="259"/>
    </row>
    <row r="509" spans="1:11" ht="26.25" customHeight="1">
      <c r="A509" s="260" t="s">
        <v>684</v>
      </c>
      <c r="B509" s="260"/>
      <c r="C509" s="260"/>
      <c r="D509" s="260"/>
      <c r="E509" s="260"/>
      <c r="F509" s="260"/>
      <c r="G509" s="260"/>
      <c r="H509" s="260"/>
      <c r="I509" s="260"/>
      <c r="J509" s="260"/>
      <c r="K509" s="260"/>
    </row>
    <row r="510" spans="1:11" ht="18.75" customHeight="1">
      <c r="A510" s="261" t="s">
        <v>1109</v>
      </c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</row>
    <row r="511" spans="1:11" ht="18.75" customHeight="1">
      <c r="A511" s="262" t="s">
        <v>686</v>
      </c>
      <c r="B511" s="259" t="s">
        <v>1110</v>
      </c>
      <c r="C511" s="259"/>
      <c r="D511" s="259"/>
      <c r="E511" s="259"/>
      <c r="F511" s="259"/>
      <c r="G511" s="259"/>
      <c r="H511" s="263" t="s">
        <v>687</v>
      </c>
      <c r="I511" s="263"/>
      <c r="J511" s="263"/>
      <c r="K511" s="263"/>
    </row>
    <row r="512" spans="1:11" ht="53.25" customHeight="1">
      <c r="A512" s="264" t="s">
        <v>688</v>
      </c>
      <c r="B512" s="265" t="s">
        <v>1111</v>
      </c>
      <c r="C512" s="265"/>
      <c r="D512" s="265"/>
      <c r="E512" s="265"/>
      <c r="F512" s="265"/>
      <c r="G512" s="265"/>
      <c r="H512" s="265"/>
      <c r="I512" s="265"/>
      <c r="J512" s="265"/>
      <c r="K512" s="265"/>
    </row>
    <row r="513" spans="1:12" ht="18.75" customHeight="1">
      <c r="A513" s="266" t="s">
        <v>28</v>
      </c>
      <c r="B513" s="266" t="s">
        <v>690</v>
      </c>
      <c r="C513" s="266" t="s">
        <v>650</v>
      </c>
      <c r="D513" s="266"/>
      <c r="E513" s="266"/>
      <c r="F513" s="266"/>
      <c r="G513" s="266" t="s">
        <v>651</v>
      </c>
      <c r="H513" s="266"/>
      <c r="I513" s="266" t="s">
        <v>691</v>
      </c>
      <c r="J513" s="266" t="s">
        <v>692</v>
      </c>
      <c r="K513" s="266" t="s">
        <v>693</v>
      </c>
    </row>
    <row r="514" spans="1:12" ht="18.75" customHeight="1">
      <c r="A514" s="266" t="s">
        <v>31</v>
      </c>
      <c r="B514" s="267" t="s">
        <v>694</v>
      </c>
      <c r="C514" s="267"/>
      <c r="D514" s="267"/>
      <c r="E514" s="267"/>
      <c r="F514" s="267"/>
      <c r="G514" s="266" t="s">
        <v>695</v>
      </c>
      <c r="H514" s="266"/>
      <c r="I514" s="268"/>
      <c r="J514" s="268"/>
      <c r="K514" s="380">
        <f>K515+K520+K529+K547+K548</f>
        <v>0</v>
      </c>
    </row>
    <row r="515" spans="1:12" ht="18.75" customHeight="1">
      <c r="A515" s="266" t="s">
        <v>76</v>
      </c>
      <c r="B515" s="267" t="s">
        <v>353</v>
      </c>
      <c r="C515" s="267"/>
      <c r="D515" s="267"/>
      <c r="E515" s="267"/>
      <c r="F515" s="267"/>
      <c r="G515" s="266" t="s">
        <v>695</v>
      </c>
      <c r="H515" s="266"/>
      <c r="I515" s="268"/>
      <c r="J515" s="268"/>
      <c r="K515" s="380">
        <f>SUM(K516:K519)</f>
        <v>0</v>
      </c>
    </row>
    <row r="516" spans="1:12" ht="18.75" customHeight="1">
      <c r="A516" s="266"/>
      <c r="B516" s="267" t="s">
        <v>698</v>
      </c>
      <c r="C516" s="267"/>
      <c r="D516" s="267"/>
      <c r="E516" s="267"/>
      <c r="F516" s="267"/>
      <c r="G516" s="266" t="s">
        <v>699</v>
      </c>
      <c r="H516" s="266"/>
      <c r="I516" s="268">
        <f>ROUND(479*0.8,3)</f>
        <v>0</v>
      </c>
      <c r="J516" s="380">
        <v>3.46</v>
      </c>
      <c r="K516" s="380">
        <f>ROUND(I516*J516,2)</f>
        <v>0</v>
      </c>
    </row>
    <row r="517" spans="1:12" ht="18.75" customHeight="1">
      <c r="A517" s="266"/>
      <c r="B517" s="267" t="s">
        <v>698</v>
      </c>
      <c r="C517" s="267"/>
      <c r="D517" s="267"/>
      <c r="E517" s="267"/>
      <c r="F517" s="267"/>
      <c r="G517" s="266" t="s">
        <v>699</v>
      </c>
      <c r="H517" s="266"/>
      <c r="I517" s="268">
        <f>ROUND(449*0.2,3)</f>
        <v>0</v>
      </c>
      <c r="J517" s="380">
        <v>3.46</v>
      </c>
      <c r="K517" s="380">
        <f>ROUND(I517*J517,2)</f>
        <v>0</v>
      </c>
    </row>
    <row r="518" spans="1:12" ht="18.75" customHeight="1">
      <c r="A518" s="266"/>
      <c r="B518" s="267" t="s">
        <v>698</v>
      </c>
      <c r="C518" s="267"/>
      <c r="D518" s="267"/>
      <c r="E518" s="267"/>
      <c r="F518" s="267"/>
      <c r="G518" s="266" t="s">
        <v>699</v>
      </c>
      <c r="H518" s="266"/>
      <c r="I518" s="268">
        <f>ROUND(242*1.03,3)</f>
        <v>0</v>
      </c>
      <c r="J518" s="380">
        <v>3.46</v>
      </c>
      <c r="K518" s="380">
        <f>ROUND(I518*J518,2)</f>
        <v>0</v>
      </c>
    </row>
    <row r="519" spans="1:12" ht="18.75" customHeight="1">
      <c r="A519" s="266"/>
      <c r="B519" s="267" t="s">
        <v>698</v>
      </c>
      <c r="C519" s="267"/>
      <c r="D519" s="267"/>
      <c r="E519" s="267"/>
      <c r="F519" s="267"/>
      <c r="G519" s="266" t="s">
        <v>699</v>
      </c>
      <c r="H519" s="266"/>
      <c r="I519" s="268">
        <f>ROUND(97*1.03,3)</f>
        <v>0</v>
      </c>
      <c r="J519" s="380">
        <v>3.46</v>
      </c>
      <c r="K519" s="380">
        <f>ROUND(I519*J519,2)</f>
        <v>0</v>
      </c>
    </row>
    <row r="520" spans="1:12" ht="18.75" customHeight="1">
      <c r="A520" s="266" t="s">
        <v>152</v>
      </c>
      <c r="B520" s="267" t="s">
        <v>354</v>
      </c>
      <c r="C520" s="267"/>
      <c r="D520" s="267"/>
      <c r="E520" s="267"/>
      <c r="F520" s="267"/>
      <c r="G520" s="266" t="s">
        <v>695</v>
      </c>
      <c r="H520" s="266"/>
      <c r="I520" s="268"/>
      <c r="J520" s="268"/>
      <c r="K520" s="380">
        <f>SUM(K521:K528)</f>
        <v>0</v>
      </c>
    </row>
    <row r="521" spans="1:12" ht="18.75" customHeight="1">
      <c r="A521" s="266"/>
      <c r="B521" s="267" t="s">
        <v>1027</v>
      </c>
      <c r="C521" s="267"/>
      <c r="D521" s="267"/>
      <c r="E521" s="267"/>
      <c r="F521" s="267"/>
      <c r="G521" s="266" t="s">
        <v>81</v>
      </c>
      <c r="H521" s="266"/>
      <c r="I521" s="268">
        <f>ROUND(90*0.8,3)</f>
        <v>0</v>
      </c>
      <c r="J521" s="380">
        <v>0.5</v>
      </c>
      <c r="K521" s="380">
        <f>ROUND(I521*J521,2)</f>
        <v>0</v>
      </c>
    </row>
    <row r="522" spans="1:12" ht="40.5" customHeight="1">
      <c r="A522" s="266"/>
      <c r="B522" s="267" t="s">
        <v>1121</v>
      </c>
      <c r="C522" s="267" t="s">
        <v>1122</v>
      </c>
      <c r="D522" s="267"/>
      <c r="E522" s="267"/>
      <c r="F522" s="267"/>
      <c r="G522" s="266" t="s">
        <v>81</v>
      </c>
      <c r="H522" s="266"/>
      <c r="I522" s="268">
        <f>ROUND(103*0.8,3)</f>
        <v>0</v>
      </c>
      <c r="J522" s="380">
        <v>100.23</v>
      </c>
      <c r="K522" s="380">
        <f>ROUND(I522*J522,2)</f>
        <v>0</v>
      </c>
    </row>
    <row r="523" spans="1:12" ht="18.75" customHeight="1">
      <c r="A523" s="266"/>
      <c r="B523" s="267" t="s">
        <v>828</v>
      </c>
      <c r="C523" s="267"/>
      <c r="D523" s="267"/>
      <c r="E523" s="267"/>
      <c r="F523" s="267"/>
      <c r="G523" s="266" t="s">
        <v>334</v>
      </c>
      <c r="H523" s="266"/>
      <c r="I523" s="268">
        <f>ROUND(2,3)</f>
        <v>0</v>
      </c>
      <c r="J523" s="380">
        <f>K521+K522</f>
        <v>0</v>
      </c>
      <c r="K523" s="380">
        <f>ROUND(I523*J523/100,2)</f>
        <v>0</v>
      </c>
    </row>
    <row r="524" spans="1:12" ht="18.75" customHeight="1">
      <c r="A524" s="266"/>
      <c r="B524" s="267" t="s">
        <v>1027</v>
      </c>
      <c r="C524" s="267"/>
      <c r="D524" s="267"/>
      <c r="E524" s="267"/>
      <c r="F524" s="267"/>
      <c r="G524" s="266" t="s">
        <v>81</v>
      </c>
      <c r="H524" s="266"/>
      <c r="I524" s="268">
        <f>ROUND(90*0.2,3)</f>
        <v>0</v>
      </c>
      <c r="J524" s="380">
        <v>0.5</v>
      </c>
      <c r="K524" s="380">
        <f>ROUND(I524*J524,2)</f>
        <v>0</v>
      </c>
    </row>
    <row r="525" spans="1:12" ht="40.5" customHeight="1">
      <c r="A525" s="266"/>
      <c r="B525" s="267" t="s">
        <v>1121</v>
      </c>
      <c r="C525" s="267" t="s">
        <v>1122</v>
      </c>
      <c r="D525" s="267"/>
      <c r="E525" s="267"/>
      <c r="F525" s="267"/>
      <c r="G525" s="266" t="s">
        <v>81</v>
      </c>
      <c r="H525" s="266"/>
      <c r="I525" s="268">
        <f>ROUND(103*0.2,3)</f>
        <v>0</v>
      </c>
      <c r="J525" s="380">
        <v>100.23</v>
      </c>
      <c r="K525" s="380">
        <f>ROUND(I525*J525,2)</f>
        <v>0</v>
      </c>
    </row>
    <row r="526" spans="1:12" ht="18.75" customHeight="1">
      <c r="A526" s="266"/>
      <c r="B526" s="267" t="s">
        <v>828</v>
      </c>
      <c r="C526" s="267"/>
      <c r="D526" s="267"/>
      <c r="E526" s="267"/>
      <c r="F526" s="267"/>
      <c r="G526" s="266" t="s">
        <v>334</v>
      </c>
      <c r="H526" s="266"/>
      <c r="I526" s="268">
        <f>ROUND(2,3)</f>
        <v>0</v>
      </c>
      <c r="J526" s="380">
        <f>K524+K525</f>
        <v>0</v>
      </c>
      <c r="K526" s="380">
        <f>ROUND(I526*J526/100,2)</f>
        <v>0</v>
      </c>
    </row>
    <row r="527" spans="1:12" ht="18.75" customHeight="1">
      <c r="A527" s="266"/>
      <c r="B527" s="267" t="s">
        <v>702</v>
      </c>
      <c r="C527" s="267"/>
      <c r="D527" s="267"/>
      <c r="E527" s="267"/>
      <c r="F527" s="267"/>
      <c r="G527" s="266" t="s">
        <v>334</v>
      </c>
      <c r="H527" s="266"/>
      <c r="I527" s="268">
        <f>ROUND(2,3)</f>
        <v>0</v>
      </c>
      <c r="J527" s="380">
        <f>K518+K538+K539</f>
        <v>0</v>
      </c>
      <c r="K527" s="380">
        <f>ROUND(I527*J527/100,2)</f>
        <v>0</v>
      </c>
    </row>
    <row r="528" spans="1:12" ht="18.75" customHeight="1">
      <c r="A528" s="266"/>
      <c r="B528" s="267" t="s">
        <v>702</v>
      </c>
      <c r="C528" s="267"/>
      <c r="D528" s="267"/>
      <c r="E528" s="267"/>
      <c r="F528" s="267"/>
      <c r="G528" s="266" t="s">
        <v>334</v>
      </c>
      <c r="H528" s="266"/>
      <c r="I528" s="268">
        <f>ROUND(6,3)</f>
        <v>0</v>
      </c>
      <c r="J528" s="380">
        <f>K519+K540</f>
        <v>0</v>
      </c>
      <c r="K528" s="380">
        <f>ROUND(I528*J528/100,2)</f>
        <v>0</v>
      </c>
    </row>
    <row r="529" spans="1:12" ht="18.75" customHeight="1">
      <c r="A529" s="266" t="s">
        <v>704</v>
      </c>
      <c r="B529" s="267" t="s">
        <v>705</v>
      </c>
      <c r="C529" s="267"/>
      <c r="D529" s="267"/>
      <c r="E529" s="267"/>
      <c r="F529" s="267"/>
      <c r="G529" s="266" t="s">
        <v>695</v>
      </c>
      <c r="H529" s="266"/>
      <c r="I529" s="268"/>
      <c r="J529" s="268"/>
      <c r="K529" s="380">
        <f>SUM(K530:K540)</f>
        <v>0</v>
      </c>
    </row>
    <row r="530" spans="1:12" ht="18.75" customHeight="1">
      <c r="A530" s="266"/>
      <c r="B530" s="267" t="s">
        <v>1134</v>
      </c>
      <c r="C530" s="267" t="s">
        <v>1135</v>
      </c>
      <c r="D530" s="267"/>
      <c r="E530" s="267"/>
      <c r="F530" s="267"/>
      <c r="G530" s="266" t="s">
        <v>709</v>
      </c>
      <c r="H530" s="266"/>
      <c r="I530" s="268">
        <f>ROUND(9.12*0.8,3)</f>
        <v>0</v>
      </c>
      <c r="J530" s="380">
        <v>78.73</v>
      </c>
      <c r="K530" s="380">
        <f>ROUND(I530*J530,2)</f>
        <v>0</v>
      </c>
    </row>
    <row r="531" spans="1:12" ht="18.75" customHeight="1">
      <c r="A531" s="266"/>
      <c r="B531" s="267" t="s">
        <v>1041</v>
      </c>
      <c r="C531" s="267" t="s">
        <v>1042</v>
      </c>
      <c r="D531" s="267"/>
      <c r="E531" s="267"/>
      <c r="F531" s="267"/>
      <c r="G531" s="266" t="s">
        <v>709</v>
      </c>
      <c r="H531" s="266"/>
      <c r="I531" s="268">
        <f>ROUND(36.45*0.8,3)</f>
        <v>0</v>
      </c>
      <c r="J531" s="380">
        <v>2.07</v>
      </c>
      <c r="K531" s="380">
        <f>ROUND(I531*J531,2)</f>
        <v>0</v>
      </c>
    </row>
    <row r="532" spans="1:12" ht="18.75" customHeight="1">
      <c r="A532" s="266"/>
      <c r="B532" s="267" t="s">
        <v>1046</v>
      </c>
      <c r="C532" s="267" t="s">
        <v>1047</v>
      </c>
      <c r="D532" s="267"/>
      <c r="E532" s="267"/>
      <c r="F532" s="267"/>
      <c r="G532" s="266" t="s">
        <v>709</v>
      </c>
      <c r="H532" s="266"/>
      <c r="I532" s="268">
        <f>ROUND(11.2*0.8,3)</f>
        <v>0</v>
      </c>
      <c r="J532" s="380">
        <v>33.03</v>
      </c>
      <c r="K532" s="380">
        <f>ROUND(I532*J532,2)</f>
        <v>0</v>
      </c>
    </row>
    <row r="533" spans="1:12" ht="18.75" customHeight="1">
      <c r="A533" s="266"/>
      <c r="B533" s="267" t="s">
        <v>883</v>
      </c>
      <c r="C533" s="267"/>
      <c r="D533" s="267"/>
      <c r="E533" s="267"/>
      <c r="F533" s="267"/>
      <c r="G533" s="266" t="s">
        <v>334</v>
      </c>
      <c r="H533" s="266"/>
      <c r="I533" s="268">
        <f>ROUND(13,3)</f>
        <v>0</v>
      </c>
      <c r="J533" s="380">
        <f>K530+K531+K532</f>
        <v>0</v>
      </c>
      <c r="K533" s="380">
        <f>ROUND(I533*J533/100,2)</f>
        <v>0</v>
      </c>
    </row>
    <row r="534" spans="1:12" ht="18.75" customHeight="1">
      <c r="A534" s="266"/>
      <c r="B534" s="267" t="s">
        <v>1134</v>
      </c>
      <c r="C534" s="267" t="s">
        <v>1135</v>
      </c>
      <c r="D534" s="267"/>
      <c r="E534" s="267"/>
      <c r="F534" s="267"/>
      <c r="G534" s="266" t="s">
        <v>709</v>
      </c>
      <c r="H534" s="266"/>
      <c r="I534" s="268">
        <f>ROUND(6.83*0.2,3)</f>
        <v>0</v>
      </c>
      <c r="J534" s="380">
        <v>78.73</v>
      </c>
      <c r="K534" s="380">
        <f>ROUND(I534*J534,2)</f>
        <v>0</v>
      </c>
    </row>
    <row r="535" spans="1:12" ht="18.75" customHeight="1">
      <c r="A535" s="266"/>
      <c r="B535" s="267" t="s">
        <v>1041</v>
      </c>
      <c r="C535" s="267" t="s">
        <v>1042</v>
      </c>
      <c r="D535" s="267"/>
      <c r="E535" s="267"/>
      <c r="F535" s="267"/>
      <c r="G535" s="266" t="s">
        <v>709</v>
      </c>
      <c r="H535" s="266"/>
      <c r="I535" s="268">
        <f>ROUND(32.4*0.2,3)</f>
        <v>0</v>
      </c>
      <c r="J535" s="380">
        <v>2.07</v>
      </c>
      <c r="K535" s="380">
        <f>ROUND(I535*J535,2)</f>
        <v>0</v>
      </c>
    </row>
    <row r="536" spans="1:12" ht="18.75" customHeight="1">
      <c r="A536" s="266"/>
      <c r="B536" s="267" t="s">
        <v>1046</v>
      </c>
      <c r="C536" s="267" t="s">
        <v>1047</v>
      </c>
      <c r="D536" s="267"/>
      <c r="E536" s="267"/>
      <c r="F536" s="267"/>
      <c r="G536" s="266" t="s">
        <v>709</v>
      </c>
      <c r="H536" s="266"/>
      <c r="I536" s="268">
        <f>ROUND(11.2*0.2,3)</f>
        <v>0</v>
      </c>
      <c r="J536" s="380">
        <v>33.03</v>
      </c>
      <c r="K536" s="380">
        <f>ROUND(I536*J536,2)</f>
        <v>0</v>
      </c>
    </row>
    <row r="537" spans="1:12" ht="18.75" customHeight="1">
      <c r="A537" s="266"/>
      <c r="B537" s="267" t="s">
        <v>883</v>
      </c>
      <c r="C537" s="267"/>
      <c r="D537" s="267"/>
      <c r="E537" s="267"/>
      <c r="F537" s="267"/>
      <c r="G537" s="266" t="s">
        <v>334</v>
      </c>
      <c r="H537" s="266"/>
      <c r="I537" s="268">
        <f>ROUND(13,3)</f>
        <v>0</v>
      </c>
      <c r="J537" s="380">
        <f>K534+K535+K536</f>
        <v>0</v>
      </c>
      <c r="K537" s="380">
        <f>ROUND(I537*J537/100,2)</f>
        <v>0</v>
      </c>
    </row>
    <row r="538" spans="1:12" ht="18.75" customHeight="1">
      <c r="A538" s="266"/>
      <c r="B538" s="267" t="s">
        <v>1053</v>
      </c>
      <c r="C538" s="267" t="s">
        <v>1054</v>
      </c>
      <c r="D538" s="267"/>
      <c r="E538" s="267"/>
      <c r="F538" s="267"/>
      <c r="G538" s="266" t="s">
        <v>709</v>
      </c>
      <c r="H538" s="266"/>
      <c r="I538" s="268">
        <f>ROUND(18*1.03,3)</f>
        <v>0</v>
      </c>
      <c r="J538" s="380">
        <v>20.6</v>
      </c>
      <c r="K538" s="380">
        <f>ROUND(I538*J538,2)</f>
        <v>0</v>
      </c>
    </row>
    <row r="539" spans="1:12" ht="18.75" customHeight="1">
      <c r="A539" s="266"/>
      <c r="B539" s="267" t="s">
        <v>998</v>
      </c>
      <c r="C539" s="267"/>
      <c r="D539" s="267"/>
      <c r="E539" s="267"/>
      <c r="F539" s="267"/>
      <c r="G539" s="266" t="s">
        <v>709</v>
      </c>
      <c r="H539" s="266"/>
      <c r="I539" s="268">
        <f>ROUND(83*1.03,3)</f>
        <v>0</v>
      </c>
      <c r="J539" s="380">
        <v>0.82</v>
      </c>
      <c r="K539" s="380">
        <f>ROUND(I539*J539,2)</f>
        <v>0</v>
      </c>
    </row>
    <row r="540" spans="1:12" ht="18.75" customHeight="1">
      <c r="A540" s="266"/>
      <c r="B540" s="267" t="s">
        <v>998</v>
      </c>
      <c r="C540" s="267"/>
      <c r="D540" s="267"/>
      <c r="E540" s="267"/>
      <c r="F540" s="267"/>
      <c r="G540" s="266" t="s">
        <v>709</v>
      </c>
      <c r="H540" s="266"/>
      <c r="I540" s="268">
        <f>ROUND(117.5*1.03,3)</f>
        <v>0</v>
      </c>
      <c r="J540" s="380">
        <v>0.82</v>
      </c>
      <c r="K540" s="380">
        <f>ROUND(I540*J540,2)</f>
        <v>0</v>
      </c>
    </row>
    <row r="541" spans="1:11" ht="7.5" customHeight="1">
      <c r="A541" s="259"/>
      <c r="B541" s="259"/>
      <c r="C541" s="259"/>
      <c r="D541" s="259"/>
      <c r="E541" s="259"/>
      <c r="F541" s="259"/>
      <c r="G541" s="259"/>
      <c r="H541" s="259"/>
      <c r="I541" s="259"/>
      <c r="J541" s="259"/>
      <c r="K541" s="259"/>
    </row>
    <row r="542" spans="1:11" ht="26.25" customHeight="1">
      <c r="A542" s="260" t="s">
        <v>684</v>
      </c>
      <c r="B542" s="260"/>
      <c r="C542" s="260"/>
      <c r="D542" s="260"/>
      <c r="E542" s="260"/>
      <c r="F542" s="260"/>
      <c r="G542" s="260"/>
      <c r="H542" s="260"/>
      <c r="I542" s="260"/>
      <c r="J542" s="260"/>
      <c r="K542" s="260"/>
    </row>
    <row r="543" spans="1:11" ht="18.75" customHeight="1">
      <c r="A543" s="261" t="s">
        <v>1109</v>
      </c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</row>
    <row r="544" spans="1:11" ht="18.75" customHeight="1">
      <c r="A544" s="262" t="s">
        <v>686</v>
      </c>
      <c r="B544" s="259" t="s">
        <v>1110</v>
      </c>
      <c r="C544" s="259"/>
      <c r="D544" s="259"/>
      <c r="E544" s="259"/>
      <c r="F544" s="259"/>
      <c r="G544" s="259"/>
      <c r="H544" s="263" t="s">
        <v>687</v>
      </c>
      <c r="I544" s="263"/>
      <c r="J544" s="263"/>
      <c r="K544" s="263"/>
    </row>
    <row r="545" spans="1:11" ht="53.25" customHeight="1">
      <c r="A545" s="264" t="s">
        <v>688</v>
      </c>
      <c r="B545" s="265" t="s">
        <v>1111</v>
      </c>
      <c r="C545" s="265"/>
      <c r="D545" s="265"/>
      <c r="E545" s="265"/>
      <c r="F545" s="265"/>
      <c r="G545" s="265"/>
      <c r="H545" s="265"/>
      <c r="I545" s="265"/>
      <c r="J545" s="265"/>
      <c r="K545" s="265"/>
    </row>
    <row r="546" spans="1:12" ht="18.75" customHeight="1">
      <c r="A546" s="266" t="s">
        <v>28</v>
      </c>
      <c r="B546" s="266" t="s">
        <v>690</v>
      </c>
      <c r="C546" s="266" t="s">
        <v>650</v>
      </c>
      <c r="D546" s="266"/>
      <c r="E546" s="266"/>
      <c r="F546" s="266"/>
      <c r="G546" s="266" t="s">
        <v>651</v>
      </c>
      <c r="H546" s="266"/>
      <c r="I546" s="266" t="s">
        <v>691</v>
      </c>
      <c r="J546" s="266" t="s">
        <v>692</v>
      </c>
      <c r="K546" s="266" t="s">
        <v>693</v>
      </c>
    </row>
    <row r="547" spans="1:12" ht="18.75" customHeight="1">
      <c r="A547" s="266" t="s">
        <v>721</v>
      </c>
      <c r="B547" s="267" t="s">
        <v>722</v>
      </c>
      <c r="C547" s="267"/>
      <c r="D547" s="267"/>
      <c r="E547" s="267"/>
      <c r="F547" s="267"/>
      <c r="G547" s="266" t="s">
        <v>695</v>
      </c>
      <c r="H547" s="266"/>
      <c r="I547" s="268">
        <f>3.5&amp;"%"</f>
        <v>0</v>
      </c>
      <c r="J547" s="380">
        <f>K515+K520+K529</f>
        <v>0</v>
      </c>
      <c r="K547" s="380">
        <f>ROUND(I547*J547,2)</f>
        <v>0</v>
      </c>
    </row>
    <row r="548" spans="1:12" ht="18.75" customHeight="1">
      <c r="A548" s="266" t="s">
        <v>348</v>
      </c>
      <c r="B548" s="267" t="s">
        <v>726</v>
      </c>
      <c r="C548" s="267"/>
      <c r="D548" s="267"/>
      <c r="E548" s="267"/>
      <c r="F548" s="267"/>
      <c r="G548" s="266" t="s">
        <v>695</v>
      </c>
      <c r="H548" s="266"/>
      <c r="I548" s="268">
        <f>6&amp;"%"</f>
        <v>0</v>
      </c>
      <c r="J548" s="380">
        <f>K515+K520+K529</f>
        <v>0</v>
      </c>
      <c r="K548" s="380">
        <f>ROUND(I548*J548,2)</f>
        <v>0</v>
      </c>
    </row>
    <row r="549" spans="1:12" ht="18.75" customHeight="1">
      <c r="A549" s="266" t="s">
        <v>34</v>
      </c>
      <c r="B549" s="267" t="s">
        <v>729</v>
      </c>
      <c r="C549" s="267"/>
      <c r="D549" s="267"/>
      <c r="E549" s="267"/>
      <c r="F549" s="267"/>
      <c r="G549" s="266" t="s">
        <v>695</v>
      </c>
      <c r="H549" s="266"/>
      <c r="I549" s="268">
        <f>3.7&amp;"%"</f>
        <v>0</v>
      </c>
      <c r="J549" s="380">
        <f>K514</f>
        <v>0</v>
      </c>
      <c r="K549" s="380">
        <f>ROUND(I549*J549,2)</f>
        <v>0</v>
      </c>
    </row>
    <row r="550" spans="1:12" ht="18.75" customHeight="1">
      <c r="A550" s="266" t="s">
        <v>37</v>
      </c>
      <c r="B550" s="267" t="s">
        <v>732</v>
      </c>
      <c r="C550" s="267"/>
      <c r="D550" s="267"/>
      <c r="E550" s="267"/>
      <c r="F550" s="267"/>
      <c r="G550" s="266" t="s">
        <v>695</v>
      </c>
      <c r="H550" s="266"/>
      <c r="I550" s="268">
        <f>32.8&amp;"%"</f>
        <v>0</v>
      </c>
      <c r="J550" s="380">
        <f>K515+ROUND(I530*2.4*3.46,2)+ROUND(I534*2.4*3.46,2)+ROUND(I538*1.3*3.46,2)</f>
        <v>0</v>
      </c>
      <c r="K550" s="380">
        <f>ROUND(I550*J550,2)</f>
        <v>0</v>
      </c>
    </row>
    <row r="551" spans="1:12" ht="18.75" customHeight="1">
      <c r="A551" s="266" t="s">
        <v>40</v>
      </c>
      <c r="B551" s="267" t="s">
        <v>736</v>
      </c>
      <c r="C551" s="267"/>
      <c r="D551" s="267"/>
      <c r="E551" s="267"/>
      <c r="F551" s="267"/>
      <c r="G551" s="266" t="s">
        <v>695</v>
      </c>
      <c r="H551" s="266"/>
      <c r="I551" s="268">
        <f>7&amp;"%"</f>
        <v>0</v>
      </c>
      <c r="J551" s="380">
        <f>K514+K549+K550</f>
        <v>0</v>
      </c>
      <c r="K551" s="380">
        <f>ROUND(I551*J551,2)</f>
        <v>0</v>
      </c>
    </row>
    <row r="552" spans="1:12" ht="18.75" customHeight="1">
      <c r="A552" s="266" t="s">
        <v>43</v>
      </c>
      <c r="B552" s="267" t="s">
        <v>361</v>
      </c>
      <c r="C552" s="267"/>
      <c r="D552" s="267"/>
      <c r="E552" s="267"/>
      <c r="F552" s="267"/>
      <c r="G552" s="266" t="s">
        <v>695</v>
      </c>
      <c r="H552" s="266"/>
      <c r="I552" s="268"/>
      <c r="J552" s="268"/>
      <c r="K552" s="380">
        <f>SUM(K553:K557)</f>
        <v>0</v>
      </c>
    </row>
    <row r="553" spans="1:12" ht="18.75" customHeight="1">
      <c r="A553" s="266"/>
      <c r="B553" s="267" t="s">
        <v>698</v>
      </c>
      <c r="C553" s="267"/>
      <c r="D553" s="267"/>
      <c r="E553" s="267"/>
      <c r="F553" s="267"/>
      <c r="G553" s="266" t="s">
        <v>699</v>
      </c>
      <c r="H553" s="266"/>
      <c r="I553" s="268">
        <f>ROUND(I516+I517+I518+I519,3)</f>
        <v>0</v>
      </c>
      <c r="J553" s="380">
        <v>4</v>
      </c>
      <c r="K553" s="380">
        <f>ROUND(I553*J553,2)</f>
        <v>0</v>
      </c>
    </row>
    <row r="554" spans="1:12" ht="18.75" customHeight="1">
      <c r="A554" s="266"/>
      <c r="B554" s="267" t="s">
        <v>741</v>
      </c>
      <c r="C554" s="267"/>
      <c r="D554" s="267"/>
      <c r="E554" s="267"/>
      <c r="F554" s="267"/>
      <c r="G554" s="266" t="s">
        <v>699</v>
      </c>
      <c r="H554" s="266"/>
      <c r="I554" s="268">
        <f>ROUND(I530*2.4+I534*2.4+I538*1.3,3)</f>
        <v>0</v>
      </c>
      <c r="J554" s="380">
        <v>4</v>
      </c>
      <c r="K554" s="380">
        <f>ROUND(I554*J554,2)</f>
        <v>0</v>
      </c>
    </row>
    <row r="555" spans="1:12" ht="18.75" customHeight="1">
      <c r="A555" s="266"/>
      <c r="B555" s="267" t="s">
        <v>658</v>
      </c>
      <c r="C555" s="267" t="s">
        <v>659</v>
      </c>
      <c r="D555" s="267"/>
      <c r="E555" s="267"/>
      <c r="F555" s="267"/>
      <c r="G555" s="266" t="s">
        <v>149</v>
      </c>
      <c r="H555" s="266"/>
      <c r="I555" s="268">
        <f>ROUND(I522*228.932*0.001+I525*228.932*0.001,3)</f>
        <v>0</v>
      </c>
      <c r="J555" s="380">
        <v>206.26</v>
      </c>
      <c r="K555" s="380">
        <f>ROUND(I555*J555,2)</f>
        <v>0</v>
      </c>
    </row>
    <row r="556" spans="1:12" ht="18.75" customHeight="1">
      <c r="A556" s="266"/>
      <c r="B556" s="267" t="s">
        <v>661</v>
      </c>
      <c r="C556" s="267"/>
      <c r="D556" s="267"/>
      <c r="E556" s="267"/>
      <c r="F556" s="267"/>
      <c r="G556" s="266" t="s">
        <v>81</v>
      </c>
      <c r="H556" s="266"/>
      <c r="I556" s="268">
        <f>ROUND(I522*0.8586+I525*0.8586,3)</f>
        <v>0</v>
      </c>
      <c r="J556" s="380">
        <v>102.44</v>
      </c>
      <c r="K556" s="380">
        <f>ROUND(I556*J556,2)</f>
        <v>0</v>
      </c>
    </row>
    <row r="557" spans="1:12" ht="18.75" customHeight="1">
      <c r="A557" s="266"/>
      <c r="B557" s="267" t="s">
        <v>682</v>
      </c>
      <c r="C557" s="267"/>
      <c r="D557" s="267"/>
      <c r="E557" s="267"/>
      <c r="F557" s="267"/>
      <c r="G557" s="266" t="s">
        <v>81</v>
      </c>
      <c r="H557" s="266"/>
      <c r="I557" s="268">
        <f>ROUND(I522*0.572+I525*0.572,3)</f>
        <v>0</v>
      </c>
      <c r="J557" s="380">
        <v>142.25</v>
      </c>
      <c r="K557" s="380">
        <f>ROUND(I557*J557,2)</f>
        <v>0</v>
      </c>
    </row>
    <row r="558" spans="1:12" ht="18.75" customHeight="1">
      <c r="A558" s="266" t="s">
        <v>46</v>
      </c>
      <c r="B558" s="267" t="s">
        <v>362</v>
      </c>
      <c r="C558" s="267"/>
      <c r="D558" s="267"/>
      <c r="E558" s="267"/>
      <c r="F558" s="267"/>
      <c r="G558" s="266" t="s">
        <v>695</v>
      </c>
      <c r="H558" s="266"/>
      <c r="I558" s="268">
        <f>0&amp;"%"</f>
        <v>0</v>
      </c>
      <c r="J558" s="380">
        <f>K514+K549+K550+K551+K552</f>
        <v>0</v>
      </c>
      <c r="K558" s="380">
        <f>ROUND(I558*J558,2)</f>
        <v>0</v>
      </c>
    </row>
    <row r="559" spans="1:12" ht="18.75" customHeight="1">
      <c r="A559" s="266" t="s">
        <v>49</v>
      </c>
      <c r="B559" s="267" t="s">
        <v>363</v>
      </c>
      <c r="C559" s="267"/>
      <c r="D559" s="267"/>
      <c r="E559" s="267"/>
      <c r="F559" s="267"/>
      <c r="G559" s="266" t="s">
        <v>695</v>
      </c>
      <c r="H559" s="266"/>
      <c r="I559" s="268">
        <f>9&amp;"%"</f>
        <v>0</v>
      </c>
      <c r="J559" s="380">
        <f>K514+K549+K550+K551+K552+K558</f>
        <v>0</v>
      </c>
      <c r="K559" s="380">
        <f>ROUND(I559*J559,2)</f>
        <v>0</v>
      </c>
    </row>
    <row r="560" spans="1:12" ht="18.75" customHeight="1">
      <c r="A560" s="266"/>
      <c r="B560" s="267" t="s">
        <v>64</v>
      </c>
      <c r="C560" s="267"/>
      <c r="D560" s="267"/>
      <c r="E560" s="267"/>
      <c r="F560" s="267"/>
      <c r="G560" s="266" t="s">
        <v>695</v>
      </c>
      <c r="H560" s="266"/>
      <c r="I560" s="268"/>
      <c r="J560" s="268"/>
      <c r="K560" s="380">
        <f>K514+K549+K550+K551+K552+K558+K559</f>
        <v>0</v>
      </c>
    </row>
    <row r="561" spans="1:12" ht="18.75" customHeight="1">
      <c r="A561" s="266"/>
      <c r="B561" s="267" t="s">
        <v>752</v>
      </c>
      <c r="C561" s="267"/>
      <c r="D561" s="267"/>
      <c r="E561" s="267"/>
      <c r="F561" s="267"/>
      <c r="G561" s="266" t="s">
        <v>695</v>
      </c>
      <c r="H561" s="266"/>
      <c r="I561" s="268"/>
      <c r="J561" s="268"/>
      <c r="K561" s="380">
        <f>ROUND(K560/100,2)</f>
        <v>0</v>
      </c>
    </row>
    <row r="562" spans="1:11" ht="18.75" customHeight="1">
      <c r="A562" s="266"/>
      <c r="B562" s="267"/>
      <c r="C562" s="267"/>
      <c r="D562" s="267"/>
      <c r="E562" s="267"/>
      <c r="F562" s="267"/>
      <c r="G562" s="266"/>
      <c r="H562" s="266"/>
      <c r="I562" s="268"/>
      <c r="J562" s="268"/>
      <c r="K562" s="268"/>
    </row>
    <row r="563" spans="1:11" ht="18.75" customHeight="1">
      <c r="A563" s="266"/>
      <c r="B563" s="267"/>
      <c r="C563" s="267"/>
      <c r="D563" s="267"/>
      <c r="E563" s="267"/>
      <c r="F563" s="267"/>
      <c r="G563" s="266"/>
      <c r="H563" s="266"/>
      <c r="I563" s="268"/>
      <c r="J563" s="268"/>
      <c r="K563" s="268"/>
    </row>
    <row r="564" spans="1:11" ht="18.75" customHeight="1">
      <c r="A564" s="266"/>
      <c r="B564" s="267"/>
      <c r="C564" s="267"/>
      <c r="D564" s="267"/>
      <c r="E564" s="267"/>
      <c r="F564" s="267"/>
      <c r="G564" s="266"/>
      <c r="H564" s="266"/>
      <c r="I564" s="268"/>
      <c r="J564" s="268"/>
      <c r="K564" s="268"/>
    </row>
    <row r="565" spans="1:11" ht="18.75" customHeight="1">
      <c r="A565" s="266"/>
      <c r="B565" s="267"/>
      <c r="C565" s="267"/>
      <c r="D565" s="267"/>
      <c r="E565" s="267"/>
      <c r="F565" s="267"/>
      <c r="G565" s="266"/>
      <c r="H565" s="266"/>
      <c r="I565" s="268"/>
      <c r="J565" s="268"/>
      <c r="K565" s="268"/>
    </row>
    <row r="566" spans="1:11" ht="18.75" customHeight="1">
      <c r="A566" s="266"/>
      <c r="B566" s="267"/>
      <c r="C566" s="267"/>
      <c r="D566" s="267"/>
      <c r="E566" s="267"/>
      <c r="F566" s="267"/>
      <c r="G566" s="266"/>
      <c r="H566" s="266"/>
      <c r="I566" s="268"/>
      <c r="J566" s="268"/>
      <c r="K566" s="268"/>
    </row>
    <row r="567" spans="1:11" ht="18.75" customHeight="1">
      <c r="A567" s="266"/>
      <c r="B567" s="267"/>
      <c r="C567" s="267"/>
      <c r="D567" s="267"/>
      <c r="E567" s="267"/>
      <c r="F567" s="267"/>
      <c r="G567" s="266"/>
      <c r="H567" s="266"/>
      <c r="I567" s="268"/>
      <c r="J567" s="268"/>
      <c r="K567" s="268"/>
    </row>
    <row r="568" spans="1:11" ht="18.75" customHeight="1">
      <c r="A568" s="266"/>
      <c r="B568" s="267"/>
      <c r="C568" s="267"/>
      <c r="D568" s="267"/>
      <c r="E568" s="267"/>
      <c r="F568" s="267"/>
      <c r="G568" s="266"/>
      <c r="H568" s="266"/>
      <c r="I568" s="268"/>
      <c r="J568" s="268"/>
      <c r="K568" s="268"/>
    </row>
    <row r="569" spans="1:11" ht="18.75" customHeight="1">
      <c r="A569" s="266"/>
      <c r="B569" s="267"/>
      <c r="C569" s="267"/>
      <c r="D569" s="267"/>
      <c r="E569" s="267"/>
      <c r="F569" s="267"/>
      <c r="G569" s="266"/>
      <c r="H569" s="266"/>
      <c r="I569" s="268"/>
      <c r="J569" s="268"/>
      <c r="K569" s="268"/>
    </row>
    <row r="570" spans="1:11" ht="18.75" customHeight="1">
      <c r="A570" s="266"/>
      <c r="B570" s="267"/>
      <c r="C570" s="267"/>
      <c r="D570" s="267"/>
      <c r="E570" s="267"/>
      <c r="F570" s="267"/>
      <c r="G570" s="266"/>
      <c r="H570" s="266"/>
      <c r="I570" s="268"/>
      <c r="J570" s="268"/>
      <c r="K570" s="268"/>
    </row>
    <row r="571" spans="1:11" ht="18.75" customHeight="1">
      <c r="A571" s="266"/>
      <c r="B571" s="267"/>
      <c r="C571" s="267"/>
      <c r="D571" s="267"/>
      <c r="E571" s="267"/>
      <c r="F571" s="267"/>
      <c r="G571" s="266"/>
      <c r="H571" s="266"/>
      <c r="I571" s="268"/>
      <c r="J571" s="268"/>
      <c r="K571" s="268"/>
    </row>
    <row r="572" spans="1:11" ht="18.75" customHeight="1">
      <c r="A572" s="266"/>
      <c r="B572" s="267"/>
      <c r="C572" s="267"/>
      <c r="D572" s="267"/>
      <c r="E572" s="267"/>
      <c r="F572" s="267"/>
      <c r="G572" s="266"/>
      <c r="H572" s="266"/>
      <c r="I572" s="268"/>
      <c r="J572" s="268"/>
      <c r="K572" s="268"/>
    </row>
    <row r="573" spans="1:11" ht="18.75" customHeight="1">
      <c r="A573" s="266"/>
      <c r="B573" s="267"/>
      <c r="C573" s="267"/>
      <c r="D573" s="267"/>
      <c r="E573" s="267"/>
      <c r="F573" s="267"/>
      <c r="G573" s="266"/>
      <c r="H573" s="266"/>
      <c r="I573" s="268"/>
      <c r="J573" s="268"/>
      <c r="K573" s="268"/>
    </row>
    <row r="574" spans="1:11" ht="18.75" customHeight="1">
      <c r="A574" s="266"/>
      <c r="B574" s="267"/>
      <c r="C574" s="267"/>
      <c r="D574" s="267"/>
      <c r="E574" s="267"/>
      <c r="F574" s="267"/>
      <c r="G574" s="266"/>
      <c r="H574" s="266"/>
      <c r="I574" s="268"/>
      <c r="J574" s="268"/>
      <c r="K574" s="268"/>
    </row>
    <row r="575" spans="1:11" ht="18.75" customHeight="1">
      <c r="A575" s="266"/>
      <c r="B575" s="267"/>
      <c r="C575" s="267"/>
      <c r="D575" s="267"/>
      <c r="E575" s="267"/>
      <c r="F575" s="267"/>
      <c r="G575" s="266"/>
      <c r="H575" s="266"/>
      <c r="I575" s="268"/>
      <c r="J575" s="268"/>
      <c r="K575" s="268"/>
    </row>
    <row r="576" spans="1:11" ht="7.5" customHeight="1">
      <c r="A576" s="259"/>
      <c r="B576" s="259"/>
      <c r="C576" s="259"/>
      <c r="D576" s="259"/>
      <c r="E576" s="259"/>
      <c r="F576" s="259"/>
      <c r="G576" s="259"/>
      <c r="H576" s="259"/>
      <c r="I576" s="259"/>
      <c r="J576" s="259"/>
      <c r="K576" s="259"/>
    </row>
    <row r="577" spans="1:11" ht="26.25" customHeight="1">
      <c r="A577" s="260" t="s">
        <v>684</v>
      </c>
      <c r="B577" s="260"/>
      <c r="C577" s="260"/>
      <c r="D577" s="260"/>
      <c r="E577" s="260"/>
      <c r="F577" s="260"/>
      <c r="G577" s="260"/>
      <c r="H577" s="260"/>
      <c r="I577" s="260"/>
      <c r="J577" s="260"/>
      <c r="K577" s="260"/>
    </row>
    <row r="578" spans="1:11" ht="18.75" customHeight="1">
      <c r="A578" s="261" t="s">
        <v>1172</v>
      </c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</row>
    <row r="579" spans="1:11" ht="18.75" customHeight="1">
      <c r="A579" s="262" t="s">
        <v>686</v>
      </c>
      <c r="B579" s="259" t="s">
        <v>1173</v>
      </c>
      <c r="C579" s="259"/>
      <c r="D579" s="259"/>
      <c r="E579" s="259"/>
      <c r="F579" s="259"/>
      <c r="G579" s="259"/>
      <c r="H579" s="263" t="s">
        <v>687</v>
      </c>
      <c r="I579" s="263"/>
      <c r="J579" s="263"/>
      <c r="K579" s="263"/>
    </row>
    <row r="580" spans="1:11" ht="53.25" customHeight="1">
      <c r="A580" s="264" t="s">
        <v>688</v>
      </c>
      <c r="B580" s="265" t="s">
        <v>1174</v>
      </c>
      <c r="C580" s="265"/>
      <c r="D580" s="265"/>
      <c r="E580" s="265"/>
      <c r="F580" s="265"/>
      <c r="G580" s="265"/>
      <c r="H580" s="265"/>
      <c r="I580" s="265"/>
      <c r="J580" s="265"/>
      <c r="K580" s="265"/>
    </row>
    <row r="581" spans="1:12" ht="18.75" customHeight="1">
      <c r="A581" s="266" t="s">
        <v>28</v>
      </c>
      <c r="B581" s="266" t="s">
        <v>690</v>
      </c>
      <c r="C581" s="266" t="s">
        <v>650</v>
      </c>
      <c r="D581" s="266"/>
      <c r="E581" s="266"/>
      <c r="F581" s="266"/>
      <c r="G581" s="266" t="s">
        <v>651</v>
      </c>
      <c r="H581" s="266"/>
      <c r="I581" s="266" t="s">
        <v>691</v>
      </c>
      <c r="J581" s="266" t="s">
        <v>692</v>
      </c>
      <c r="K581" s="266" t="s">
        <v>693</v>
      </c>
    </row>
    <row r="582" spans="1:12" ht="18.75" customHeight="1">
      <c r="A582" s="266" t="s">
        <v>31</v>
      </c>
      <c r="B582" s="267" t="s">
        <v>694</v>
      </c>
      <c r="C582" s="267"/>
      <c r="D582" s="267"/>
      <c r="E582" s="267"/>
      <c r="F582" s="267"/>
      <c r="G582" s="266" t="s">
        <v>695</v>
      </c>
      <c r="H582" s="266"/>
      <c r="I582" s="268"/>
      <c r="J582" s="268"/>
      <c r="K582" s="380">
        <f>K583+K587+K593+K601+K602</f>
        <v>0</v>
      </c>
    </row>
    <row r="583" spans="1:12" ht="18.75" customHeight="1">
      <c r="A583" s="266" t="s">
        <v>76</v>
      </c>
      <c r="B583" s="267" t="s">
        <v>353</v>
      </c>
      <c r="C583" s="267"/>
      <c r="D583" s="267"/>
      <c r="E583" s="267"/>
      <c r="F583" s="267"/>
      <c r="G583" s="266" t="s">
        <v>695</v>
      </c>
      <c r="H583" s="266"/>
      <c r="I583" s="268"/>
      <c r="J583" s="268"/>
      <c r="K583" s="380">
        <f>SUM(K584:K586)</f>
        <v>0</v>
      </c>
    </row>
    <row r="584" spans="1:12" ht="18.75" customHeight="1">
      <c r="A584" s="266"/>
      <c r="B584" s="267" t="s">
        <v>698</v>
      </c>
      <c r="C584" s="267"/>
      <c r="D584" s="267"/>
      <c r="E584" s="267"/>
      <c r="F584" s="267"/>
      <c r="G584" s="266" t="s">
        <v>699</v>
      </c>
      <c r="H584" s="266"/>
      <c r="I584" s="268">
        <f>ROUND(439,3)</f>
        <v>0</v>
      </c>
      <c r="J584" s="380">
        <v>3.46</v>
      </c>
      <c r="K584" s="380">
        <f>ROUND(I584*J584,2)</f>
        <v>0</v>
      </c>
    </row>
    <row r="585" spans="1:12" ht="18.75" customHeight="1">
      <c r="A585" s="266"/>
      <c r="B585" s="267" t="s">
        <v>698</v>
      </c>
      <c r="C585" s="267"/>
      <c r="D585" s="267"/>
      <c r="E585" s="267"/>
      <c r="F585" s="267"/>
      <c r="G585" s="266" t="s">
        <v>699</v>
      </c>
      <c r="H585" s="266"/>
      <c r="I585" s="268">
        <f>ROUND(242*1.03,3)</f>
        <v>0</v>
      </c>
      <c r="J585" s="380">
        <v>3.46</v>
      </c>
      <c r="K585" s="380">
        <f>ROUND(I585*J585,2)</f>
        <v>0</v>
      </c>
    </row>
    <row r="586" spans="1:12" ht="18.75" customHeight="1">
      <c r="A586" s="266"/>
      <c r="B586" s="267" t="s">
        <v>698</v>
      </c>
      <c r="C586" s="267"/>
      <c r="D586" s="267"/>
      <c r="E586" s="267"/>
      <c r="F586" s="267"/>
      <c r="G586" s="266" t="s">
        <v>699</v>
      </c>
      <c r="H586" s="266"/>
      <c r="I586" s="268">
        <f>ROUND(97*1.03,3)</f>
        <v>0</v>
      </c>
      <c r="J586" s="380">
        <v>3.46</v>
      </c>
      <c r="K586" s="380">
        <f>ROUND(I586*J586,2)</f>
        <v>0</v>
      </c>
    </row>
    <row r="587" spans="1:12" ht="18.75" customHeight="1">
      <c r="A587" s="266" t="s">
        <v>152</v>
      </c>
      <c r="B587" s="267" t="s">
        <v>354</v>
      </c>
      <c r="C587" s="267"/>
      <c r="D587" s="267"/>
      <c r="E587" s="267"/>
      <c r="F587" s="267"/>
      <c r="G587" s="266" t="s">
        <v>695</v>
      </c>
      <c r="H587" s="266"/>
      <c r="I587" s="268"/>
      <c r="J587" s="268"/>
      <c r="K587" s="380">
        <f>SUM(K588:K592)</f>
        <v>0</v>
      </c>
    </row>
    <row r="588" spans="1:12" ht="18.75" customHeight="1">
      <c r="A588" s="266"/>
      <c r="B588" s="267" t="s">
        <v>1027</v>
      </c>
      <c r="C588" s="267"/>
      <c r="D588" s="267"/>
      <c r="E588" s="267"/>
      <c r="F588" s="267"/>
      <c r="G588" s="266" t="s">
        <v>81</v>
      </c>
      <c r="H588" s="266"/>
      <c r="I588" s="268">
        <f>ROUND(100,3)</f>
        <v>0</v>
      </c>
      <c r="J588" s="380">
        <v>0.5</v>
      </c>
      <c r="K588" s="380">
        <f>ROUND(I588*J588,2)</f>
        <v>0</v>
      </c>
    </row>
    <row r="589" spans="1:12" ht="40.5" customHeight="1">
      <c r="A589" s="266"/>
      <c r="B589" s="267" t="s">
        <v>1121</v>
      </c>
      <c r="C589" s="267" t="s">
        <v>1122</v>
      </c>
      <c r="D589" s="267"/>
      <c r="E589" s="267"/>
      <c r="F589" s="267"/>
      <c r="G589" s="266" t="s">
        <v>81</v>
      </c>
      <c r="H589" s="266"/>
      <c r="I589" s="268">
        <f>ROUND(103,3)</f>
        <v>0</v>
      </c>
      <c r="J589" s="380">
        <v>100.23</v>
      </c>
      <c r="K589" s="380">
        <f>ROUND(I589*J589,2)</f>
        <v>0</v>
      </c>
    </row>
    <row r="590" spans="1:12" ht="18.75" customHeight="1">
      <c r="A590" s="266"/>
      <c r="B590" s="267" t="s">
        <v>828</v>
      </c>
      <c r="C590" s="267"/>
      <c r="D590" s="267"/>
      <c r="E590" s="267"/>
      <c r="F590" s="267"/>
      <c r="G590" s="266" t="s">
        <v>334</v>
      </c>
      <c r="H590" s="266"/>
      <c r="I590" s="268">
        <f>ROUND(0.5,3)</f>
        <v>0</v>
      </c>
      <c r="J590" s="380">
        <f>K588+K589</f>
        <v>0</v>
      </c>
      <c r="K590" s="380">
        <f>ROUND(I590*J590/100,2)</f>
        <v>0</v>
      </c>
    </row>
    <row r="591" spans="1:12" ht="18.75" customHeight="1">
      <c r="A591" s="266"/>
      <c r="B591" s="267" t="s">
        <v>702</v>
      </c>
      <c r="C591" s="267"/>
      <c r="D591" s="267"/>
      <c r="E591" s="267"/>
      <c r="F591" s="267"/>
      <c r="G591" s="266" t="s">
        <v>334</v>
      </c>
      <c r="H591" s="266"/>
      <c r="I591" s="268">
        <f>ROUND(2,3)</f>
        <v>0</v>
      </c>
      <c r="J591" s="380">
        <f>K585+K598+K599</f>
        <v>0</v>
      </c>
      <c r="K591" s="380">
        <f>ROUND(I591*J591/100,2)</f>
        <v>0</v>
      </c>
    </row>
    <row r="592" spans="1:12" ht="18.75" customHeight="1">
      <c r="A592" s="266"/>
      <c r="B592" s="267" t="s">
        <v>702</v>
      </c>
      <c r="C592" s="267"/>
      <c r="D592" s="267"/>
      <c r="E592" s="267"/>
      <c r="F592" s="267"/>
      <c r="G592" s="266" t="s">
        <v>334</v>
      </c>
      <c r="H592" s="266"/>
      <c r="I592" s="268">
        <f>ROUND(6,3)</f>
        <v>0</v>
      </c>
      <c r="J592" s="380">
        <f>K586+K600</f>
        <v>0</v>
      </c>
      <c r="K592" s="380">
        <f>ROUND(I592*J592/100,2)</f>
        <v>0</v>
      </c>
    </row>
    <row r="593" spans="1:12" ht="18.75" customHeight="1">
      <c r="A593" s="266" t="s">
        <v>704</v>
      </c>
      <c r="B593" s="267" t="s">
        <v>705</v>
      </c>
      <c r="C593" s="267"/>
      <c r="D593" s="267"/>
      <c r="E593" s="267"/>
      <c r="F593" s="267"/>
      <c r="G593" s="266" t="s">
        <v>695</v>
      </c>
      <c r="H593" s="266"/>
      <c r="I593" s="268"/>
      <c r="J593" s="268"/>
      <c r="K593" s="380">
        <f>SUM(K594:K600)</f>
        <v>0</v>
      </c>
    </row>
    <row r="594" spans="1:12" ht="27.75" customHeight="1">
      <c r="A594" s="266"/>
      <c r="B594" s="267" t="s">
        <v>1041</v>
      </c>
      <c r="C594" s="267" t="s">
        <v>1186</v>
      </c>
      <c r="D594" s="267"/>
      <c r="E594" s="267"/>
      <c r="F594" s="267"/>
      <c r="G594" s="266" t="s">
        <v>709</v>
      </c>
      <c r="H594" s="266"/>
      <c r="I594" s="268">
        <f>ROUND(18.73,3)</f>
        <v>0</v>
      </c>
      <c r="J594" s="380">
        <v>9.13</v>
      </c>
      <c r="K594" s="380">
        <f>ROUND(I594*J594,2)</f>
        <v>0</v>
      </c>
    </row>
    <row r="595" spans="1:12" ht="18.75" customHeight="1">
      <c r="A595" s="266"/>
      <c r="B595" s="267" t="s">
        <v>1046</v>
      </c>
      <c r="C595" s="267" t="s">
        <v>1047</v>
      </c>
      <c r="D595" s="267"/>
      <c r="E595" s="267"/>
      <c r="F595" s="267"/>
      <c r="G595" s="266" t="s">
        <v>709</v>
      </c>
      <c r="H595" s="266"/>
      <c r="I595" s="268">
        <f>ROUND(45.15,3)</f>
        <v>0</v>
      </c>
      <c r="J595" s="380">
        <v>33.03</v>
      </c>
      <c r="K595" s="380">
        <f>ROUND(I595*J595,2)</f>
        <v>0</v>
      </c>
    </row>
    <row r="596" spans="1:12" ht="18.75" customHeight="1">
      <c r="A596" s="266"/>
      <c r="B596" s="267" t="s">
        <v>1192</v>
      </c>
      <c r="C596" s="267" t="s">
        <v>1193</v>
      </c>
      <c r="D596" s="267"/>
      <c r="E596" s="267"/>
      <c r="F596" s="267"/>
      <c r="G596" s="266" t="s">
        <v>709</v>
      </c>
      <c r="H596" s="266"/>
      <c r="I596" s="268">
        <f>ROUND(9.55,3)</f>
        <v>0</v>
      </c>
      <c r="J596" s="380">
        <v>26.9</v>
      </c>
      <c r="K596" s="380">
        <f>ROUND(I596*J596,2)</f>
        <v>0</v>
      </c>
    </row>
    <row r="597" spans="1:12" ht="18.75" customHeight="1">
      <c r="A597" s="266"/>
      <c r="B597" s="267" t="s">
        <v>883</v>
      </c>
      <c r="C597" s="267"/>
      <c r="D597" s="267"/>
      <c r="E597" s="267"/>
      <c r="F597" s="267"/>
      <c r="G597" s="266" t="s">
        <v>334</v>
      </c>
      <c r="H597" s="266"/>
      <c r="I597" s="268">
        <f>ROUND(1,3)</f>
        <v>0</v>
      </c>
      <c r="J597" s="380">
        <f>K594+K595+K596</f>
        <v>0</v>
      </c>
      <c r="K597" s="380">
        <f>ROUND(I597*J597/100,2)</f>
        <v>0</v>
      </c>
    </row>
    <row r="598" spans="1:12" ht="18.75" customHeight="1">
      <c r="A598" s="266"/>
      <c r="B598" s="267" t="s">
        <v>1053</v>
      </c>
      <c r="C598" s="267" t="s">
        <v>1054</v>
      </c>
      <c r="D598" s="267"/>
      <c r="E598" s="267"/>
      <c r="F598" s="267"/>
      <c r="G598" s="266" t="s">
        <v>709</v>
      </c>
      <c r="H598" s="266"/>
      <c r="I598" s="268">
        <f>ROUND(18*1.03,3)</f>
        <v>0</v>
      </c>
      <c r="J598" s="380">
        <v>20.6</v>
      </c>
      <c r="K598" s="380">
        <f>ROUND(I598*J598,2)</f>
        <v>0</v>
      </c>
    </row>
    <row r="599" spans="1:12" ht="18.75" customHeight="1">
      <c r="A599" s="266"/>
      <c r="B599" s="267" t="s">
        <v>998</v>
      </c>
      <c r="C599" s="267"/>
      <c r="D599" s="267"/>
      <c r="E599" s="267"/>
      <c r="F599" s="267"/>
      <c r="G599" s="266" t="s">
        <v>709</v>
      </c>
      <c r="H599" s="266"/>
      <c r="I599" s="268">
        <f>ROUND(83*1.03,3)</f>
        <v>0</v>
      </c>
      <c r="J599" s="380">
        <v>0.82</v>
      </c>
      <c r="K599" s="380">
        <f>ROUND(I599*J599,2)</f>
        <v>0</v>
      </c>
    </row>
    <row r="600" spans="1:12" ht="18.75" customHeight="1">
      <c r="A600" s="266"/>
      <c r="B600" s="267" t="s">
        <v>998</v>
      </c>
      <c r="C600" s="267"/>
      <c r="D600" s="267"/>
      <c r="E600" s="267"/>
      <c r="F600" s="267"/>
      <c r="G600" s="266" t="s">
        <v>709</v>
      </c>
      <c r="H600" s="266"/>
      <c r="I600" s="268">
        <f>ROUND(117.5*1.03,3)</f>
        <v>0</v>
      </c>
      <c r="J600" s="380">
        <v>0.82</v>
      </c>
      <c r="K600" s="380">
        <f>ROUND(I600*J600,2)</f>
        <v>0</v>
      </c>
    </row>
    <row r="601" spans="1:12" ht="18.75" customHeight="1">
      <c r="A601" s="266" t="s">
        <v>721</v>
      </c>
      <c r="B601" s="267" t="s">
        <v>722</v>
      </c>
      <c r="C601" s="267"/>
      <c r="D601" s="267"/>
      <c r="E601" s="267"/>
      <c r="F601" s="267"/>
      <c r="G601" s="266" t="s">
        <v>695</v>
      </c>
      <c r="H601" s="266"/>
      <c r="I601" s="268">
        <f>3.5&amp;"%"</f>
        <v>0</v>
      </c>
      <c r="J601" s="380">
        <f>K583+K587+K593</f>
        <v>0</v>
      </c>
      <c r="K601" s="380">
        <f>ROUND(I601*J601,2)</f>
        <v>0</v>
      </c>
    </row>
    <row r="602" spans="1:12" ht="18.75" customHeight="1">
      <c r="A602" s="266" t="s">
        <v>348</v>
      </c>
      <c r="B602" s="267" t="s">
        <v>726</v>
      </c>
      <c r="C602" s="267"/>
      <c r="D602" s="267"/>
      <c r="E602" s="267"/>
      <c r="F602" s="267"/>
      <c r="G602" s="266" t="s">
        <v>695</v>
      </c>
      <c r="H602" s="266"/>
      <c r="I602" s="268">
        <f>6&amp;"%"</f>
        <v>0</v>
      </c>
      <c r="J602" s="380">
        <f>K583+K587+K593</f>
        <v>0</v>
      </c>
      <c r="K602" s="380">
        <f>ROUND(I602*J602,2)</f>
        <v>0</v>
      </c>
    </row>
    <row r="603" spans="1:12" ht="18.75" customHeight="1">
      <c r="A603" s="266" t="s">
        <v>34</v>
      </c>
      <c r="B603" s="267" t="s">
        <v>729</v>
      </c>
      <c r="C603" s="267"/>
      <c r="D603" s="267"/>
      <c r="E603" s="267"/>
      <c r="F603" s="267"/>
      <c r="G603" s="266" t="s">
        <v>695</v>
      </c>
      <c r="H603" s="266"/>
      <c r="I603" s="268">
        <f>3.7&amp;"%"</f>
        <v>0</v>
      </c>
      <c r="J603" s="380">
        <f>K582</f>
        <v>0</v>
      </c>
      <c r="K603" s="380">
        <f>ROUND(I603*J603,2)</f>
        <v>0</v>
      </c>
    </row>
    <row r="604" spans="1:12" ht="18.75" customHeight="1">
      <c r="A604" s="266" t="s">
        <v>37</v>
      </c>
      <c r="B604" s="267" t="s">
        <v>732</v>
      </c>
      <c r="C604" s="267"/>
      <c r="D604" s="267"/>
      <c r="E604" s="267"/>
      <c r="F604" s="267"/>
      <c r="G604" s="266" t="s">
        <v>695</v>
      </c>
      <c r="H604" s="266"/>
      <c r="I604" s="268">
        <f>32.8&amp;"%"</f>
        <v>0</v>
      </c>
      <c r="J604" s="380">
        <f>K583+ROUND(I596*1.3*3.46,2)+ROUND(I598*1.3*3.46,2)</f>
        <v>0</v>
      </c>
      <c r="K604" s="380">
        <f>ROUND(I604*J604,2)</f>
        <v>0</v>
      </c>
    </row>
    <row r="605" spans="1:12" ht="18.75" customHeight="1">
      <c r="A605" s="266" t="s">
        <v>40</v>
      </c>
      <c r="B605" s="267" t="s">
        <v>736</v>
      </c>
      <c r="C605" s="267"/>
      <c r="D605" s="267"/>
      <c r="E605" s="267"/>
      <c r="F605" s="267"/>
      <c r="G605" s="266" t="s">
        <v>695</v>
      </c>
      <c r="H605" s="266"/>
      <c r="I605" s="268">
        <f>7&amp;"%"</f>
        <v>0</v>
      </c>
      <c r="J605" s="380">
        <f>K582+K603+K604</f>
        <v>0</v>
      </c>
      <c r="K605" s="380">
        <f>ROUND(I605*J605,2)</f>
        <v>0</v>
      </c>
    </row>
    <row r="606" spans="1:12" ht="18.75" customHeight="1">
      <c r="A606" s="266" t="s">
        <v>43</v>
      </c>
      <c r="B606" s="267" t="s">
        <v>361</v>
      </c>
      <c r="C606" s="267"/>
      <c r="D606" s="267"/>
      <c r="E606" s="267"/>
      <c r="F606" s="267"/>
      <c r="G606" s="266" t="s">
        <v>695</v>
      </c>
      <c r="H606" s="266"/>
      <c r="I606" s="268"/>
      <c r="J606" s="268"/>
      <c r="K606" s="380">
        <f>SUM(K607:K617)</f>
        <v>0</v>
      </c>
    </row>
    <row r="607" spans="1:12" ht="18.75" customHeight="1">
      <c r="A607" s="266"/>
      <c r="B607" s="267" t="s">
        <v>698</v>
      </c>
      <c r="C607" s="267"/>
      <c r="D607" s="267"/>
      <c r="E607" s="267"/>
      <c r="F607" s="267"/>
      <c r="G607" s="266" t="s">
        <v>699</v>
      </c>
      <c r="H607" s="266"/>
      <c r="I607" s="268">
        <f>ROUND(I584+I585+I586,3)</f>
        <v>0</v>
      </c>
      <c r="J607" s="380">
        <v>4</v>
      </c>
      <c r="K607" s="380">
        <f>ROUND(I607*J607,2)</f>
        <v>0</v>
      </c>
    </row>
    <row r="608" spans="1:12" ht="18.75" customHeight="1">
      <c r="A608" s="266"/>
      <c r="B608" s="267" t="s">
        <v>741</v>
      </c>
      <c r="C608" s="267"/>
      <c r="D608" s="267"/>
      <c r="E608" s="267"/>
      <c r="F608" s="267"/>
      <c r="G608" s="266" t="s">
        <v>699</v>
      </c>
      <c r="H608" s="266"/>
      <c r="I608" s="268">
        <f>ROUND(I596*1.3+I598*1.3,3)</f>
        <v>0</v>
      </c>
      <c r="J608" s="380">
        <v>4</v>
      </c>
      <c r="K608" s="380">
        <f>ROUND(I608*J608,2)</f>
        <v>0</v>
      </c>
    </row>
    <row r="609" spans="1:12" ht="18.75" customHeight="1">
      <c r="A609" s="266"/>
      <c r="B609" s="267" t="s">
        <v>658</v>
      </c>
      <c r="C609" s="267" t="s">
        <v>659</v>
      </c>
      <c r="D609" s="267"/>
      <c r="E609" s="267"/>
      <c r="F609" s="267"/>
      <c r="G609" s="266" t="s">
        <v>149</v>
      </c>
      <c r="H609" s="266"/>
      <c r="I609" s="268">
        <f>ROUND(I589*228.932*0.001,3)</f>
        <v>0</v>
      </c>
      <c r="J609" s="380">
        <v>206.26</v>
      </c>
      <c r="K609" s="380">
        <f>ROUND(I609*J609,2)</f>
        <v>0</v>
      </c>
    </row>
    <row r="610" spans="1:11" ht="7.5" customHeight="1">
      <c r="A610" s="259"/>
      <c r="B610" s="259"/>
      <c r="C610" s="259"/>
      <c r="D610" s="259"/>
      <c r="E610" s="259"/>
      <c r="F610" s="259"/>
      <c r="G610" s="259"/>
      <c r="H610" s="259"/>
      <c r="I610" s="259"/>
      <c r="J610" s="259"/>
      <c r="K610" s="259"/>
    </row>
    <row r="611" spans="1:11" ht="26.25" customHeight="1">
      <c r="A611" s="260" t="s">
        <v>684</v>
      </c>
      <c r="B611" s="260"/>
      <c r="C611" s="260"/>
      <c r="D611" s="260"/>
      <c r="E611" s="260"/>
      <c r="F611" s="260"/>
      <c r="G611" s="260"/>
      <c r="H611" s="260"/>
      <c r="I611" s="260"/>
      <c r="J611" s="260"/>
      <c r="K611" s="260"/>
    </row>
    <row r="612" spans="1:11" ht="18.75" customHeight="1">
      <c r="A612" s="261" t="s">
        <v>1172</v>
      </c>
      <c r="B612" s="261"/>
      <c r="C612" s="261"/>
      <c r="D612" s="261"/>
      <c r="E612" s="261"/>
      <c r="F612" s="261"/>
      <c r="G612" s="261"/>
      <c r="H612" s="261"/>
      <c r="I612" s="261"/>
      <c r="J612" s="261"/>
      <c r="K612" s="261"/>
    </row>
    <row r="613" spans="1:11" ht="18.75" customHeight="1">
      <c r="A613" s="262" t="s">
        <v>686</v>
      </c>
      <c r="B613" s="259" t="s">
        <v>1173</v>
      </c>
      <c r="C613" s="259"/>
      <c r="D613" s="259"/>
      <c r="E613" s="259"/>
      <c r="F613" s="259"/>
      <c r="G613" s="259"/>
      <c r="H613" s="263" t="s">
        <v>687</v>
      </c>
      <c r="I613" s="263"/>
      <c r="J613" s="263"/>
      <c r="K613" s="263"/>
    </row>
    <row r="614" spans="1:11" ht="53.25" customHeight="1">
      <c r="A614" s="264" t="s">
        <v>688</v>
      </c>
      <c r="B614" s="265" t="s">
        <v>1174</v>
      </c>
      <c r="C614" s="265"/>
      <c r="D614" s="265"/>
      <c r="E614" s="265"/>
      <c r="F614" s="265"/>
      <c r="G614" s="265"/>
      <c r="H614" s="265"/>
      <c r="I614" s="265"/>
      <c r="J614" s="265"/>
      <c r="K614" s="265"/>
    </row>
    <row r="615" spans="1:12" ht="18.75" customHeight="1">
      <c r="A615" s="266" t="s">
        <v>28</v>
      </c>
      <c r="B615" s="266" t="s">
        <v>690</v>
      </c>
      <c r="C615" s="266" t="s">
        <v>650</v>
      </c>
      <c r="D615" s="266"/>
      <c r="E615" s="266"/>
      <c r="F615" s="266"/>
      <c r="G615" s="266" t="s">
        <v>651</v>
      </c>
      <c r="H615" s="266"/>
      <c r="I615" s="266" t="s">
        <v>691</v>
      </c>
      <c r="J615" s="266" t="s">
        <v>692</v>
      </c>
      <c r="K615" s="266" t="s">
        <v>693</v>
      </c>
    </row>
    <row r="616" spans="1:12" ht="18.75" customHeight="1">
      <c r="A616" s="266"/>
      <c r="B616" s="267" t="s">
        <v>661</v>
      </c>
      <c r="C616" s="267"/>
      <c r="D616" s="267"/>
      <c r="E616" s="267"/>
      <c r="F616" s="267"/>
      <c r="G616" s="266" t="s">
        <v>81</v>
      </c>
      <c r="H616" s="266"/>
      <c r="I616" s="268">
        <f>ROUND(I589*0.8586,3)</f>
        <v>0</v>
      </c>
      <c r="J616" s="380">
        <v>102.44</v>
      </c>
      <c r="K616" s="380">
        <f>ROUND(I616*J616,2)</f>
        <v>0</v>
      </c>
    </row>
    <row r="617" spans="1:12" ht="18.75" customHeight="1">
      <c r="A617" s="266"/>
      <c r="B617" s="267" t="s">
        <v>682</v>
      </c>
      <c r="C617" s="267"/>
      <c r="D617" s="267"/>
      <c r="E617" s="267"/>
      <c r="F617" s="267"/>
      <c r="G617" s="266" t="s">
        <v>81</v>
      </c>
      <c r="H617" s="266"/>
      <c r="I617" s="268">
        <f>ROUND(I589*0.572,3)</f>
        <v>0</v>
      </c>
      <c r="J617" s="380">
        <v>142.25</v>
      </c>
      <c r="K617" s="380">
        <f>ROUND(I617*J617,2)</f>
        <v>0</v>
      </c>
    </row>
    <row r="618" spans="1:12" ht="18.75" customHeight="1">
      <c r="A618" s="266" t="s">
        <v>46</v>
      </c>
      <c r="B618" s="267" t="s">
        <v>362</v>
      </c>
      <c r="C618" s="267"/>
      <c r="D618" s="267"/>
      <c r="E618" s="267"/>
      <c r="F618" s="267"/>
      <c r="G618" s="266" t="s">
        <v>695</v>
      </c>
      <c r="H618" s="266"/>
      <c r="I618" s="268">
        <f>0&amp;"%"</f>
        <v>0</v>
      </c>
      <c r="J618" s="380">
        <f>K582+K603+K604+K605+K606</f>
        <v>0</v>
      </c>
      <c r="K618" s="380">
        <f>ROUND(I618*J618,2)</f>
        <v>0</v>
      </c>
    </row>
    <row r="619" spans="1:12" ht="18.75" customHeight="1">
      <c r="A619" s="266" t="s">
        <v>49</v>
      </c>
      <c r="B619" s="267" t="s">
        <v>363</v>
      </c>
      <c r="C619" s="267"/>
      <c r="D619" s="267"/>
      <c r="E619" s="267"/>
      <c r="F619" s="267"/>
      <c r="G619" s="266" t="s">
        <v>695</v>
      </c>
      <c r="H619" s="266"/>
      <c r="I619" s="268">
        <f>9&amp;"%"</f>
        <v>0</v>
      </c>
      <c r="J619" s="380">
        <f>K582+K603+K604+K605+K606+K618</f>
        <v>0</v>
      </c>
      <c r="K619" s="380">
        <f>ROUND(I619*J619,2)</f>
        <v>0</v>
      </c>
    </row>
    <row r="620" spans="1:12" ht="18.75" customHeight="1">
      <c r="A620" s="266"/>
      <c r="B620" s="267" t="s">
        <v>64</v>
      </c>
      <c r="C620" s="267"/>
      <c r="D620" s="267"/>
      <c r="E620" s="267"/>
      <c r="F620" s="267"/>
      <c r="G620" s="266" t="s">
        <v>695</v>
      </c>
      <c r="H620" s="266"/>
      <c r="I620" s="268"/>
      <c r="J620" s="268"/>
      <c r="K620" s="380">
        <f>K582+K603+K604+K605+K606+K618+K619</f>
        <v>0</v>
      </c>
    </row>
    <row r="621" spans="1:12" ht="18.75" customHeight="1">
      <c r="A621" s="266"/>
      <c r="B621" s="267" t="s">
        <v>752</v>
      </c>
      <c r="C621" s="267"/>
      <c r="D621" s="267"/>
      <c r="E621" s="267"/>
      <c r="F621" s="267"/>
      <c r="G621" s="266" t="s">
        <v>695</v>
      </c>
      <c r="H621" s="266"/>
      <c r="I621" s="268"/>
      <c r="J621" s="268"/>
      <c r="K621" s="380">
        <f>ROUND(K620/100,2)</f>
        <v>0</v>
      </c>
    </row>
    <row r="622" spans="1:11" ht="18.75" customHeight="1">
      <c r="A622" s="266"/>
      <c r="B622" s="267"/>
      <c r="C622" s="267"/>
      <c r="D622" s="267"/>
      <c r="E622" s="267"/>
      <c r="F622" s="267"/>
      <c r="G622" s="266"/>
      <c r="H622" s="266"/>
      <c r="I622" s="268"/>
      <c r="J622" s="268"/>
      <c r="K622" s="268"/>
    </row>
    <row r="623" spans="1:11" ht="18.75" customHeight="1">
      <c r="A623" s="266"/>
      <c r="B623" s="267"/>
      <c r="C623" s="267"/>
      <c r="D623" s="267"/>
      <c r="E623" s="267"/>
      <c r="F623" s="267"/>
      <c r="G623" s="266"/>
      <c r="H623" s="266"/>
      <c r="I623" s="268"/>
      <c r="J623" s="268"/>
      <c r="K623" s="268"/>
    </row>
    <row r="624" spans="1:11" ht="18.75" customHeight="1">
      <c r="A624" s="266"/>
      <c r="B624" s="267"/>
      <c r="C624" s="267"/>
      <c r="D624" s="267"/>
      <c r="E624" s="267"/>
      <c r="F624" s="267"/>
      <c r="G624" s="266"/>
      <c r="H624" s="266"/>
      <c r="I624" s="268"/>
      <c r="J624" s="268"/>
      <c r="K624" s="268"/>
    </row>
    <row r="625" spans="1:11" ht="18.75" customHeight="1">
      <c r="A625" s="266"/>
      <c r="B625" s="267"/>
      <c r="C625" s="267"/>
      <c r="D625" s="267"/>
      <c r="E625" s="267"/>
      <c r="F625" s="267"/>
      <c r="G625" s="266"/>
      <c r="H625" s="266"/>
      <c r="I625" s="268"/>
      <c r="J625" s="268"/>
      <c r="K625" s="268"/>
    </row>
    <row r="626" spans="1:11" ht="18.75" customHeight="1">
      <c r="A626" s="266"/>
      <c r="B626" s="267"/>
      <c r="C626" s="267"/>
      <c r="D626" s="267"/>
      <c r="E626" s="267"/>
      <c r="F626" s="267"/>
      <c r="G626" s="266"/>
      <c r="H626" s="266"/>
      <c r="I626" s="268"/>
      <c r="J626" s="268"/>
      <c r="K626" s="268"/>
    </row>
    <row r="627" spans="1:11" ht="18.75" customHeight="1">
      <c r="A627" s="266"/>
      <c r="B627" s="267"/>
      <c r="C627" s="267"/>
      <c r="D627" s="267"/>
      <c r="E627" s="267"/>
      <c r="F627" s="267"/>
      <c r="G627" s="266"/>
      <c r="H627" s="266"/>
      <c r="I627" s="268"/>
      <c r="J627" s="268"/>
      <c r="K627" s="268"/>
    </row>
    <row r="628" spans="1:11" ht="18.75" customHeight="1">
      <c r="A628" s="266"/>
      <c r="B628" s="267"/>
      <c r="C628" s="267"/>
      <c r="D628" s="267"/>
      <c r="E628" s="267"/>
      <c r="F628" s="267"/>
      <c r="G628" s="266"/>
      <c r="H628" s="266"/>
      <c r="I628" s="268"/>
      <c r="J628" s="268"/>
      <c r="K628" s="268"/>
    </row>
    <row r="629" spans="1:11" ht="18.75" customHeight="1">
      <c r="A629" s="266"/>
      <c r="B629" s="267"/>
      <c r="C629" s="267"/>
      <c r="D629" s="267"/>
      <c r="E629" s="267"/>
      <c r="F629" s="267"/>
      <c r="G629" s="266"/>
      <c r="H629" s="266"/>
      <c r="I629" s="268"/>
      <c r="J629" s="268"/>
      <c r="K629" s="268"/>
    </row>
    <row r="630" spans="1:11" ht="18.75" customHeight="1">
      <c r="A630" s="266"/>
      <c r="B630" s="267"/>
      <c r="C630" s="267"/>
      <c r="D630" s="267"/>
      <c r="E630" s="267"/>
      <c r="F630" s="267"/>
      <c r="G630" s="266"/>
      <c r="H630" s="266"/>
      <c r="I630" s="268"/>
      <c r="J630" s="268"/>
      <c r="K630" s="268"/>
    </row>
    <row r="631" spans="1:11" ht="18.75" customHeight="1">
      <c r="A631" s="266"/>
      <c r="B631" s="267"/>
      <c r="C631" s="267"/>
      <c r="D631" s="267"/>
      <c r="E631" s="267"/>
      <c r="F631" s="267"/>
      <c r="G631" s="266"/>
      <c r="H631" s="266"/>
      <c r="I631" s="268"/>
      <c r="J631" s="268"/>
      <c r="K631" s="268"/>
    </row>
    <row r="632" spans="1:11" ht="18.75" customHeight="1">
      <c r="A632" s="266"/>
      <c r="B632" s="267"/>
      <c r="C632" s="267"/>
      <c r="D632" s="267"/>
      <c r="E632" s="267"/>
      <c r="F632" s="267"/>
      <c r="G632" s="266"/>
      <c r="H632" s="266"/>
      <c r="I632" s="268"/>
      <c r="J632" s="268"/>
      <c r="K632" s="268"/>
    </row>
    <row r="633" spans="1:11" ht="18.75" customHeight="1">
      <c r="A633" s="266"/>
      <c r="B633" s="267"/>
      <c r="C633" s="267"/>
      <c r="D633" s="267"/>
      <c r="E633" s="267"/>
      <c r="F633" s="267"/>
      <c r="G633" s="266"/>
      <c r="H633" s="266"/>
      <c r="I633" s="268"/>
      <c r="J633" s="268"/>
      <c r="K633" s="268"/>
    </row>
    <row r="634" spans="1:11" ht="18.75" customHeight="1">
      <c r="A634" s="266"/>
      <c r="B634" s="267"/>
      <c r="C634" s="267"/>
      <c r="D634" s="267"/>
      <c r="E634" s="267"/>
      <c r="F634" s="267"/>
      <c r="G634" s="266"/>
      <c r="H634" s="266"/>
      <c r="I634" s="268"/>
      <c r="J634" s="268"/>
      <c r="K634" s="268"/>
    </row>
    <row r="635" spans="1:11" ht="18.75" customHeight="1">
      <c r="A635" s="266"/>
      <c r="B635" s="267"/>
      <c r="C635" s="267"/>
      <c r="D635" s="267"/>
      <c r="E635" s="267"/>
      <c r="F635" s="267"/>
      <c r="G635" s="266"/>
      <c r="H635" s="266"/>
      <c r="I635" s="268"/>
      <c r="J635" s="268"/>
      <c r="K635" s="268"/>
    </row>
    <row r="636" spans="1:11" ht="18.75" customHeight="1">
      <c r="A636" s="266"/>
      <c r="B636" s="267"/>
      <c r="C636" s="267"/>
      <c r="D636" s="267"/>
      <c r="E636" s="267"/>
      <c r="F636" s="267"/>
      <c r="G636" s="266"/>
      <c r="H636" s="266"/>
      <c r="I636" s="268"/>
      <c r="J636" s="268"/>
      <c r="K636" s="268"/>
    </row>
    <row r="637" spans="1:11" ht="18.75" customHeight="1">
      <c r="A637" s="266"/>
      <c r="B637" s="267"/>
      <c r="C637" s="267"/>
      <c r="D637" s="267"/>
      <c r="E637" s="267"/>
      <c r="F637" s="267"/>
      <c r="G637" s="266"/>
      <c r="H637" s="266"/>
      <c r="I637" s="268"/>
      <c r="J637" s="268"/>
      <c r="K637" s="268"/>
    </row>
    <row r="638" spans="1:11" ht="18.75" customHeight="1">
      <c r="A638" s="266"/>
      <c r="B638" s="267"/>
      <c r="C638" s="267"/>
      <c r="D638" s="267"/>
      <c r="E638" s="267"/>
      <c r="F638" s="267"/>
      <c r="G638" s="266"/>
      <c r="H638" s="266"/>
      <c r="I638" s="268"/>
      <c r="J638" s="268"/>
      <c r="K638" s="268"/>
    </row>
    <row r="639" spans="1:11" ht="18.75" customHeight="1">
      <c r="A639" s="266"/>
      <c r="B639" s="267"/>
      <c r="C639" s="267"/>
      <c r="D639" s="267"/>
      <c r="E639" s="267"/>
      <c r="F639" s="267"/>
      <c r="G639" s="266"/>
      <c r="H639" s="266"/>
      <c r="I639" s="268"/>
      <c r="J639" s="268"/>
      <c r="K639" s="268"/>
    </row>
    <row r="640" spans="1:11" ht="18.75" customHeight="1">
      <c r="A640" s="266"/>
      <c r="B640" s="267"/>
      <c r="C640" s="267"/>
      <c r="D640" s="267"/>
      <c r="E640" s="267"/>
      <c r="F640" s="267"/>
      <c r="G640" s="266"/>
      <c r="H640" s="266"/>
      <c r="I640" s="268"/>
      <c r="J640" s="268"/>
      <c r="K640" s="268"/>
    </row>
    <row r="641" spans="1:11" ht="18.75" customHeight="1">
      <c r="A641" s="266"/>
      <c r="B641" s="267"/>
      <c r="C641" s="267"/>
      <c r="D641" s="267"/>
      <c r="E641" s="267"/>
      <c r="F641" s="267"/>
      <c r="G641" s="266"/>
      <c r="H641" s="266"/>
      <c r="I641" s="268"/>
      <c r="J641" s="268"/>
      <c r="K641" s="268"/>
    </row>
    <row r="642" spans="1:11" ht="18.75" customHeight="1">
      <c r="A642" s="266"/>
      <c r="B642" s="267"/>
      <c r="C642" s="267"/>
      <c r="D642" s="267"/>
      <c r="E642" s="267"/>
      <c r="F642" s="267"/>
      <c r="G642" s="266"/>
      <c r="H642" s="266"/>
      <c r="I642" s="268"/>
      <c r="J642" s="268"/>
      <c r="K642" s="268"/>
    </row>
    <row r="643" spans="1:11" ht="18.75" customHeight="1">
      <c r="A643" s="266"/>
      <c r="B643" s="267"/>
      <c r="C643" s="267"/>
      <c r="D643" s="267"/>
      <c r="E643" s="267"/>
      <c r="F643" s="267"/>
      <c r="G643" s="266"/>
      <c r="H643" s="266"/>
      <c r="I643" s="268"/>
      <c r="J643" s="268"/>
      <c r="K643" s="268"/>
    </row>
    <row r="644" spans="1:11" ht="18.75" customHeight="1">
      <c r="A644" s="266"/>
      <c r="B644" s="267"/>
      <c r="C644" s="267"/>
      <c r="D644" s="267"/>
      <c r="E644" s="267"/>
      <c r="F644" s="267"/>
      <c r="G644" s="266"/>
      <c r="H644" s="266"/>
      <c r="I644" s="268"/>
      <c r="J644" s="268"/>
      <c r="K644" s="268"/>
    </row>
    <row r="645" spans="1:11" ht="7.5" customHeight="1">
      <c r="A645" s="259"/>
      <c r="B645" s="259"/>
      <c r="C645" s="259"/>
      <c r="D645" s="259"/>
      <c r="E645" s="259"/>
      <c r="F645" s="259"/>
      <c r="G645" s="259"/>
      <c r="H645" s="259"/>
      <c r="I645" s="259"/>
      <c r="J645" s="259"/>
      <c r="K645" s="259"/>
    </row>
    <row r="646" spans="1:11" ht="26.25" customHeight="1">
      <c r="A646" s="260" t="s">
        <v>684</v>
      </c>
      <c r="B646" s="260"/>
      <c r="C646" s="260"/>
      <c r="D646" s="260"/>
      <c r="E646" s="260"/>
      <c r="F646" s="260"/>
      <c r="G646" s="260"/>
      <c r="H646" s="260"/>
      <c r="I646" s="260"/>
      <c r="J646" s="260"/>
      <c r="K646" s="260"/>
    </row>
    <row r="647" spans="1:11" ht="18.75" customHeight="1">
      <c r="A647" s="261" t="s">
        <v>1215</v>
      </c>
      <c r="B647" s="261"/>
      <c r="C647" s="261"/>
      <c r="D647" s="261"/>
      <c r="E647" s="261"/>
      <c r="F647" s="261"/>
      <c r="G647" s="261"/>
      <c r="H647" s="261"/>
      <c r="I647" s="261"/>
      <c r="J647" s="261"/>
      <c r="K647" s="261"/>
    </row>
    <row r="648" spans="1:11" ht="18.75" customHeight="1">
      <c r="A648" s="262" t="s">
        <v>686</v>
      </c>
      <c r="B648" s="259" t="s">
        <v>1216</v>
      </c>
      <c r="C648" s="259"/>
      <c r="D648" s="259"/>
      <c r="E648" s="259"/>
      <c r="F648" s="259"/>
      <c r="G648" s="259"/>
      <c r="H648" s="263" t="s">
        <v>687</v>
      </c>
      <c r="I648" s="263"/>
      <c r="J648" s="263"/>
      <c r="K648" s="263"/>
    </row>
    <row r="649" spans="1:11" ht="53.25" customHeight="1">
      <c r="A649" s="264" t="s">
        <v>688</v>
      </c>
      <c r="B649" s="265" t="s">
        <v>1217</v>
      </c>
      <c r="C649" s="265"/>
      <c r="D649" s="265"/>
      <c r="E649" s="265"/>
      <c r="F649" s="265"/>
      <c r="G649" s="265"/>
      <c r="H649" s="265"/>
      <c r="I649" s="265"/>
      <c r="J649" s="265"/>
      <c r="K649" s="265"/>
    </row>
    <row r="650" spans="1:12" ht="18.75" customHeight="1">
      <c r="A650" s="266" t="s">
        <v>28</v>
      </c>
      <c r="B650" s="266" t="s">
        <v>690</v>
      </c>
      <c r="C650" s="266" t="s">
        <v>650</v>
      </c>
      <c r="D650" s="266"/>
      <c r="E650" s="266"/>
      <c r="F650" s="266"/>
      <c r="G650" s="266" t="s">
        <v>651</v>
      </c>
      <c r="H650" s="266"/>
      <c r="I650" s="266" t="s">
        <v>691</v>
      </c>
      <c r="J650" s="266" t="s">
        <v>692</v>
      </c>
      <c r="K650" s="266" t="s">
        <v>693</v>
      </c>
    </row>
    <row r="651" spans="1:12" ht="18.75" customHeight="1">
      <c r="A651" s="266" t="s">
        <v>31</v>
      </c>
      <c r="B651" s="267" t="s">
        <v>694</v>
      </c>
      <c r="C651" s="267"/>
      <c r="D651" s="267"/>
      <c r="E651" s="267"/>
      <c r="F651" s="267"/>
      <c r="G651" s="266" t="s">
        <v>695</v>
      </c>
      <c r="H651" s="266"/>
      <c r="I651" s="268"/>
      <c r="J651" s="268"/>
      <c r="K651" s="380">
        <f>K652+K656+K662+K669+K670</f>
        <v>0</v>
      </c>
    </row>
    <row r="652" spans="1:12" ht="18.75" customHeight="1">
      <c r="A652" s="266" t="s">
        <v>76</v>
      </c>
      <c r="B652" s="267" t="s">
        <v>353</v>
      </c>
      <c r="C652" s="267"/>
      <c r="D652" s="267"/>
      <c r="E652" s="267"/>
      <c r="F652" s="267"/>
      <c r="G652" s="266" t="s">
        <v>695</v>
      </c>
      <c r="H652" s="266"/>
      <c r="I652" s="268"/>
      <c r="J652" s="268"/>
      <c r="K652" s="380">
        <f>SUM(K653:K655)</f>
        <v>0</v>
      </c>
    </row>
    <row r="653" spans="1:12" ht="18.75" customHeight="1">
      <c r="A653" s="266"/>
      <c r="B653" s="267" t="s">
        <v>698</v>
      </c>
      <c r="C653" s="267"/>
      <c r="D653" s="267"/>
      <c r="E653" s="267"/>
      <c r="F653" s="267"/>
      <c r="G653" s="266" t="s">
        <v>699</v>
      </c>
      <c r="H653" s="266"/>
      <c r="I653" s="268">
        <f>ROUND(347,3)</f>
        <v>0</v>
      </c>
      <c r="J653" s="380">
        <v>3.46</v>
      </c>
      <c r="K653" s="380">
        <f>ROUND(I653*J653,2)</f>
        <v>0</v>
      </c>
    </row>
    <row r="654" spans="1:12" ht="18.75" customHeight="1">
      <c r="A654" s="266"/>
      <c r="B654" s="267" t="s">
        <v>698</v>
      </c>
      <c r="C654" s="267"/>
      <c r="D654" s="267"/>
      <c r="E654" s="267"/>
      <c r="F654" s="267"/>
      <c r="G654" s="266" t="s">
        <v>699</v>
      </c>
      <c r="H654" s="266"/>
      <c r="I654" s="268">
        <f>ROUND(242*1.03,3)</f>
        <v>0</v>
      </c>
      <c r="J654" s="380">
        <v>3.46</v>
      </c>
      <c r="K654" s="380">
        <f>ROUND(I654*J654,2)</f>
        <v>0</v>
      </c>
    </row>
    <row r="655" spans="1:12" ht="18.75" customHeight="1">
      <c r="A655" s="266"/>
      <c r="B655" s="267" t="s">
        <v>698</v>
      </c>
      <c r="C655" s="267"/>
      <c r="D655" s="267"/>
      <c r="E655" s="267"/>
      <c r="F655" s="267"/>
      <c r="G655" s="266" t="s">
        <v>699</v>
      </c>
      <c r="H655" s="266"/>
      <c r="I655" s="268">
        <f>ROUND(97*1.03,3)</f>
        <v>0</v>
      </c>
      <c r="J655" s="380">
        <v>3.46</v>
      </c>
      <c r="K655" s="380">
        <f>ROUND(I655*J655,2)</f>
        <v>0</v>
      </c>
    </row>
    <row r="656" spans="1:12" ht="18.75" customHeight="1">
      <c r="A656" s="266" t="s">
        <v>152</v>
      </c>
      <c r="B656" s="267" t="s">
        <v>354</v>
      </c>
      <c r="C656" s="267"/>
      <c r="D656" s="267"/>
      <c r="E656" s="267"/>
      <c r="F656" s="267"/>
      <c r="G656" s="266" t="s">
        <v>695</v>
      </c>
      <c r="H656" s="266"/>
      <c r="I656" s="268"/>
      <c r="J656" s="268"/>
      <c r="K656" s="380">
        <f>SUM(K657:K661)</f>
        <v>0</v>
      </c>
    </row>
    <row r="657" spans="1:12" ht="18.75" customHeight="1">
      <c r="A657" s="266"/>
      <c r="B657" s="267" t="s">
        <v>1027</v>
      </c>
      <c r="C657" s="267"/>
      <c r="D657" s="267"/>
      <c r="E657" s="267"/>
      <c r="F657" s="267"/>
      <c r="G657" s="266" t="s">
        <v>81</v>
      </c>
      <c r="H657" s="266"/>
      <c r="I657" s="268">
        <f>ROUND(120,3)</f>
        <v>0</v>
      </c>
      <c r="J657" s="380">
        <v>0.5</v>
      </c>
      <c r="K657" s="380">
        <f>ROUND(I657*J657,2)</f>
        <v>0</v>
      </c>
    </row>
    <row r="658" spans="1:12" ht="40.5" customHeight="1">
      <c r="A658" s="266"/>
      <c r="B658" s="267" t="s">
        <v>1121</v>
      </c>
      <c r="C658" s="267" t="s">
        <v>1122</v>
      </c>
      <c r="D658" s="267"/>
      <c r="E658" s="267"/>
      <c r="F658" s="267"/>
      <c r="G658" s="266" t="s">
        <v>81</v>
      </c>
      <c r="H658" s="266"/>
      <c r="I658" s="268">
        <f>ROUND(103,3)</f>
        <v>0</v>
      </c>
      <c r="J658" s="380">
        <v>100.23</v>
      </c>
      <c r="K658" s="380">
        <f>ROUND(I658*J658,2)</f>
        <v>0</v>
      </c>
    </row>
    <row r="659" spans="1:12" ht="18.75" customHeight="1">
      <c r="A659" s="266"/>
      <c r="B659" s="267" t="s">
        <v>828</v>
      </c>
      <c r="C659" s="267"/>
      <c r="D659" s="267"/>
      <c r="E659" s="267"/>
      <c r="F659" s="267"/>
      <c r="G659" s="266" t="s">
        <v>334</v>
      </c>
      <c r="H659" s="266"/>
      <c r="I659" s="268">
        <f>ROUND(2,3)</f>
        <v>0</v>
      </c>
      <c r="J659" s="380">
        <f>K657+K658</f>
        <v>0</v>
      </c>
      <c r="K659" s="380">
        <f>ROUND(I659*J659/100,2)</f>
        <v>0</v>
      </c>
    </row>
    <row r="660" spans="1:12" ht="18.75" customHeight="1">
      <c r="A660" s="266"/>
      <c r="B660" s="267" t="s">
        <v>702</v>
      </c>
      <c r="C660" s="267"/>
      <c r="D660" s="267"/>
      <c r="E660" s="267"/>
      <c r="F660" s="267"/>
      <c r="G660" s="266" t="s">
        <v>334</v>
      </c>
      <c r="H660" s="266"/>
      <c r="I660" s="268">
        <f>ROUND(2,3)</f>
        <v>0</v>
      </c>
      <c r="J660" s="380">
        <f>K654+K666+K667</f>
        <v>0</v>
      </c>
      <c r="K660" s="380">
        <f>ROUND(I660*J660/100,2)</f>
        <v>0</v>
      </c>
    </row>
    <row r="661" spans="1:12" ht="18.75" customHeight="1">
      <c r="A661" s="266"/>
      <c r="B661" s="267" t="s">
        <v>702</v>
      </c>
      <c r="C661" s="267"/>
      <c r="D661" s="267"/>
      <c r="E661" s="267"/>
      <c r="F661" s="267"/>
      <c r="G661" s="266" t="s">
        <v>334</v>
      </c>
      <c r="H661" s="266"/>
      <c r="I661" s="268">
        <f>ROUND(6,3)</f>
        <v>0</v>
      </c>
      <c r="J661" s="380">
        <f>K655+K668</f>
        <v>0</v>
      </c>
      <c r="K661" s="380">
        <f>ROUND(I661*J661/100,2)</f>
        <v>0</v>
      </c>
    </row>
    <row r="662" spans="1:12" ht="18.75" customHeight="1">
      <c r="A662" s="266" t="s">
        <v>704</v>
      </c>
      <c r="B662" s="267" t="s">
        <v>705</v>
      </c>
      <c r="C662" s="267"/>
      <c r="D662" s="267"/>
      <c r="E662" s="267"/>
      <c r="F662" s="267"/>
      <c r="G662" s="266" t="s">
        <v>695</v>
      </c>
      <c r="H662" s="266"/>
      <c r="I662" s="268"/>
      <c r="J662" s="268"/>
      <c r="K662" s="380">
        <f>SUM(K663:K668)</f>
        <v>0</v>
      </c>
    </row>
    <row r="663" spans="1:12" ht="18.75" customHeight="1">
      <c r="A663" s="266"/>
      <c r="B663" s="267" t="s">
        <v>1041</v>
      </c>
      <c r="C663" s="267" t="s">
        <v>1042</v>
      </c>
      <c r="D663" s="267"/>
      <c r="E663" s="267"/>
      <c r="F663" s="267"/>
      <c r="G663" s="266" t="s">
        <v>709</v>
      </c>
      <c r="H663" s="266"/>
      <c r="I663" s="268">
        <f>ROUND(20,3)</f>
        <v>0</v>
      </c>
      <c r="J663" s="380">
        <v>2.07</v>
      </c>
      <c r="K663" s="380">
        <f>ROUND(I663*J663,2)</f>
        <v>0</v>
      </c>
    </row>
    <row r="664" spans="1:12" ht="18.75" customHeight="1">
      <c r="A664" s="266"/>
      <c r="B664" s="267" t="s">
        <v>1046</v>
      </c>
      <c r="C664" s="267" t="s">
        <v>1047</v>
      </c>
      <c r="D664" s="267"/>
      <c r="E664" s="267"/>
      <c r="F664" s="267"/>
      <c r="G664" s="266" t="s">
        <v>709</v>
      </c>
      <c r="H664" s="266"/>
      <c r="I664" s="268">
        <f>ROUND(26,3)</f>
        <v>0</v>
      </c>
      <c r="J664" s="380">
        <v>33.03</v>
      </c>
      <c r="K664" s="380">
        <f>ROUND(I664*J664,2)</f>
        <v>0</v>
      </c>
    </row>
    <row r="665" spans="1:12" ht="18.75" customHeight="1">
      <c r="A665" s="266"/>
      <c r="B665" s="267" t="s">
        <v>883</v>
      </c>
      <c r="C665" s="267"/>
      <c r="D665" s="267"/>
      <c r="E665" s="267"/>
      <c r="F665" s="267"/>
      <c r="G665" s="266" t="s">
        <v>334</v>
      </c>
      <c r="H665" s="266"/>
      <c r="I665" s="268">
        <f>ROUND(10,3)</f>
        <v>0</v>
      </c>
      <c r="J665" s="380">
        <f>K663+K664</f>
        <v>0</v>
      </c>
      <c r="K665" s="380">
        <f>ROUND(I665*J665/100,2)</f>
        <v>0</v>
      </c>
    </row>
    <row r="666" spans="1:12" ht="18.75" customHeight="1">
      <c r="A666" s="266"/>
      <c r="B666" s="267" t="s">
        <v>1053</v>
      </c>
      <c r="C666" s="267" t="s">
        <v>1054</v>
      </c>
      <c r="D666" s="267"/>
      <c r="E666" s="267"/>
      <c r="F666" s="267"/>
      <c r="G666" s="266" t="s">
        <v>709</v>
      </c>
      <c r="H666" s="266"/>
      <c r="I666" s="268">
        <f>ROUND(18*1.03,3)</f>
        <v>0</v>
      </c>
      <c r="J666" s="380">
        <v>20.6</v>
      </c>
      <c r="K666" s="380">
        <f>ROUND(I666*J666,2)</f>
        <v>0</v>
      </c>
    </row>
    <row r="667" spans="1:12" ht="18.75" customHeight="1">
      <c r="A667" s="266"/>
      <c r="B667" s="267" t="s">
        <v>998</v>
      </c>
      <c r="C667" s="267"/>
      <c r="D667" s="267"/>
      <c r="E667" s="267"/>
      <c r="F667" s="267"/>
      <c r="G667" s="266" t="s">
        <v>709</v>
      </c>
      <c r="H667" s="266"/>
      <c r="I667" s="268">
        <f>ROUND(83*1.03,3)</f>
        <v>0</v>
      </c>
      <c r="J667" s="380">
        <v>0.82</v>
      </c>
      <c r="K667" s="380">
        <f>ROUND(I667*J667,2)</f>
        <v>0</v>
      </c>
    </row>
    <row r="668" spans="1:12" ht="18.75" customHeight="1">
      <c r="A668" s="266"/>
      <c r="B668" s="267" t="s">
        <v>998</v>
      </c>
      <c r="C668" s="267"/>
      <c r="D668" s="267"/>
      <c r="E668" s="267"/>
      <c r="F668" s="267"/>
      <c r="G668" s="266" t="s">
        <v>709</v>
      </c>
      <c r="H668" s="266"/>
      <c r="I668" s="268">
        <f>ROUND(117.5*1.03,3)</f>
        <v>0</v>
      </c>
      <c r="J668" s="380">
        <v>0.82</v>
      </c>
      <c r="K668" s="380">
        <f>ROUND(I668*J668,2)</f>
        <v>0</v>
      </c>
    </row>
    <row r="669" spans="1:12" ht="18.75" customHeight="1">
      <c r="A669" s="266" t="s">
        <v>721</v>
      </c>
      <c r="B669" s="267" t="s">
        <v>722</v>
      </c>
      <c r="C669" s="267"/>
      <c r="D669" s="267"/>
      <c r="E669" s="267"/>
      <c r="F669" s="267"/>
      <c r="G669" s="266" t="s">
        <v>695</v>
      </c>
      <c r="H669" s="266"/>
      <c r="I669" s="268">
        <f>3.5&amp;"%"</f>
        <v>0</v>
      </c>
      <c r="J669" s="380">
        <f>K652+K656+K662</f>
        <v>0</v>
      </c>
      <c r="K669" s="380">
        <f>ROUND(I669*J669,2)</f>
        <v>0</v>
      </c>
    </row>
    <row r="670" spans="1:12" ht="18.75" customHeight="1">
      <c r="A670" s="266" t="s">
        <v>348</v>
      </c>
      <c r="B670" s="267" t="s">
        <v>726</v>
      </c>
      <c r="C670" s="267"/>
      <c r="D670" s="267"/>
      <c r="E670" s="267"/>
      <c r="F670" s="267"/>
      <c r="G670" s="266" t="s">
        <v>695</v>
      </c>
      <c r="H670" s="266"/>
      <c r="I670" s="268">
        <f>6&amp;"%"</f>
        <v>0</v>
      </c>
      <c r="J670" s="380">
        <f>K652+K656+K662</f>
        <v>0</v>
      </c>
      <c r="K670" s="380">
        <f>ROUND(I670*J670,2)</f>
        <v>0</v>
      </c>
    </row>
    <row r="671" spans="1:12" ht="18.75" customHeight="1">
      <c r="A671" s="266" t="s">
        <v>34</v>
      </c>
      <c r="B671" s="267" t="s">
        <v>729</v>
      </c>
      <c r="C671" s="267"/>
      <c r="D671" s="267"/>
      <c r="E671" s="267"/>
      <c r="F671" s="267"/>
      <c r="G671" s="266" t="s">
        <v>695</v>
      </c>
      <c r="H671" s="266"/>
      <c r="I671" s="268">
        <f>3.7&amp;"%"</f>
        <v>0</v>
      </c>
      <c r="J671" s="380">
        <f>K651</f>
        <v>0</v>
      </c>
      <c r="K671" s="380">
        <f>ROUND(I671*J671,2)</f>
        <v>0</v>
      </c>
    </row>
    <row r="672" spans="1:12" ht="18.75" customHeight="1">
      <c r="A672" s="266" t="s">
        <v>37</v>
      </c>
      <c r="B672" s="267" t="s">
        <v>732</v>
      </c>
      <c r="C672" s="267"/>
      <c r="D672" s="267"/>
      <c r="E672" s="267"/>
      <c r="F672" s="267"/>
      <c r="G672" s="266" t="s">
        <v>695</v>
      </c>
      <c r="H672" s="266"/>
      <c r="I672" s="268">
        <f>32.8&amp;"%"</f>
        <v>0</v>
      </c>
      <c r="J672" s="380">
        <f>K652+ROUND(I666*1.3*3.46,2)</f>
        <v>0</v>
      </c>
      <c r="K672" s="380">
        <f>ROUND(I672*J672,2)</f>
        <v>0</v>
      </c>
    </row>
    <row r="673" spans="1:12" ht="18.75" customHeight="1">
      <c r="A673" s="266" t="s">
        <v>40</v>
      </c>
      <c r="B673" s="267" t="s">
        <v>736</v>
      </c>
      <c r="C673" s="267"/>
      <c r="D673" s="267"/>
      <c r="E673" s="267"/>
      <c r="F673" s="267"/>
      <c r="G673" s="266" t="s">
        <v>695</v>
      </c>
      <c r="H673" s="266"/>
      <c r="I673" s="268">
        <f>7&amp;"%"</f>
        <v>0</v>
      </c>
      <c r="J673" s="380">
        <f>K651+K671+K672</f>
        <v>0</v>
      </c>
      <c r="K673" s="380">
        <f>ROUND(I673*J673,2)</f>
        <v>0</v>
      </c>
    </row>
    <row r="674" spans="1:12" ht="18.75" customHeight="1">
      <c r="A674" s="266" t="s">
        <v>43</v>
      </c>
      <c r="B674" s="267" t="s">
        <v>361</v>
      </c>
      <c r="C674" s="267"/>
      <c r="D674" s="267"/>
      <c r="E674" s="267"/>
      <c r="F674" s="267"/>
      <c r="G674" s="266" t="s">
        <v>695</v>
      </c>
      <c r="H674" s="266"/>
      <c r="I674" s="268"/>
      <c r="J674" s="268"/>
      <c r="K674" s="380">
        <f>SUM(K675:K685)</f>
        <v>0</v>
      </c>
    </row>
    <row r="675" spans="1:12" ht="18.75" customHeight="1">
      <c r="A675" s="266"/>
      <c r="B675" s="267" t="s">
        <v>698</v>
      </c>
      <c r="C675" s="267"/>
      <c r="D675" s="267"/>
      <c r="E675" s="267"/>
      <c r="F675" s="267"/>
      <c r="G675" s="266" t="s">
        <v>699</v>
      </c>
      <c r="H675" s="266"/>
      <c r="I675" s="268">
        <f>ROUND(I653+I654+I655,3)</f>
        <v>0</v>
      </c>
      <c r="J675" s="380">
        <v>4</v>
      </c>
      <c r="K675" s="380">
        <f>ROUND(I675*J675,2)</f>
        <v>0</v>
      </c>
    </row>
    <row r="676" spans="1:12" ht="18.75" customHeight="1">
      <c r="A676" s="266"/>
      <c r="B676" s="267" t="s">
        <v>741</v>
      </c>
      <c r="C676" s="267"/>
      <c r="D676" s="267"/>
      <c r="E676" s="267"/>
      <c r="F676" s="267"/>
      <c r="G676" s="266" t="s">
        <v>699</v>
      </c>
      <c r="H676" s="266"/>
      <c r="I676" s="268">
        <f>ROUND(I666*1.3,3)</f>
        <v>0</v>
      </c>
      <c r="J676" s="380">
        <v>4</v>
      </c>
      <c r="K676" s="380">
        <f>ROUND(I676*J676,2)</f>
        <v>0</v>
      </c>
    </row>
    <row r="677" spans="1:12" ht="18.75" customHeight="1">
      <c r="A677" s="266"/>
      <c r="B677" s="267" t="s">
        <v>658</v>
      </c>
      <c r="C677" s="267" t="s">
        <v>659</v>
      </c>
      <c r="D677" s="267"/>
      <c r="E677" s="267"/>
      <c r="F677" s="267"/>
      <c r="G677" s="266" t="s">
        <v>149</v>
      </c>
      <c r="H677" s="266"/>
      <c r="I677" s="268">
        <f>ROUND(I658*228.932*0.001,3)</f>
        <v>0</v>
      </c>
      <c r="J677" s="380">
        <v>206.26</v>
      </c>
      <c r="K677" s="380">
        <f>ROUND(I677*J677,2)</f>
        <v>0</v>
      </c>
    </row>
    <row r="678" spans="1:12" ht="18.75" customHeight="1">
      <c r="A678" s="266"/>
      <c r="B678" s="267" t="s">
        <v>661</v>
      </c>
      <c r="C678" s="267"/>
      <c r="D678" s="267"/>
      <c r="E678" s="267"/>
      <c r="F678" s="267"/>
      <c r="G678" s="266" t="s">
        <v>81</v>
      </c>
      <c r="H678" s="266"/>
      <c r="I678" s="268">
        <f>ROUND(I658*0.8586,3)</f>
        <v>0</v>
      </c>
      <c r="J678" s="380">
        <v>102.44</v>
      </c>
      <c r="K678" s="380">
        <f>ROUND(I678*J678,2)</f>
        <v>0</v>
      </c>
    </row>
    <row r="679" spans="1:11" ht="7.5" customHeight="1">
      <c r="A679" s="259"/>
      <c r="B679" s="259"/>
      <c r="C679" s="259"/>
      <c r="D679" s="259"/>
      <c r="E679" s="259"/>
      <c r="F679" s="259"/>
      <c r="G679" s="259"/>
      <c r="H679" s="259"/>
      <c r="I679" s="259"/>
      <c r="J679" s="259"/>
      <c r="K679" s="259"/>
    </row>
    <row r="680" spans="1:11" ht="26.25" customHeight="1">
      <c r="A680" s="260" t="s">
        <v>684</v>
      </c>
      <c r="B680" s="260"/>
      <c r="C680" s="260"/>
      <c r="D680" s="260"/>
      <c r="E680" s="260"/>
      <c r="F680" s="260"/>
      <c r="G680" s="260"/>
      <c r="H680" s="260"/>
      <c r="I680" s="260"/>
      <c r="J680" s="260"/>
      <c r="K680" s="260"/>
    </row>
    <row r="681" spans="1:11" ht="18.75" customHeight="1">
      <c r="A681" s="261" t="s">
        <v>1215</v>
      </c>
      <c r="B681" s="261"/>
      <c r="C681" s="261"/>
      <c r="D681" s="261"/>
      <c r="E681" s="261"/>
      <c r="F681" s="261"/>
      <c r="G681" s="261"/>
      <c r="H681" s="261"/>
      <c r="I681" s="261"/>
      <c r="J681" s="261"/>
      <c r="K681" s="261"/>
    </row>
    <row r="682" spans="1:11" ht="18.75" customHeight="1">
      <c r="A682" s="262" t="s">
        <v>686</v>
      </c>
      <c r="B682" s="259" t="s">
        <v>1216</v>
      </c>
      <c r="C682" s="259"/>
      <c r="D682" s="259"/>
      <c r="E682" s="259"/>
      <c r="F682" s="259"/>
      <c r="G682" s="259"/>
      <c r="H682" s="263" t="s">
        <v>687</v>
      </c>
      <c r="I682" s="263"/>
      <c r="J682" s="263"/>
      <c r="K682" s="263"/>
    </row>
    <row r="683" spans="1:11" ht="53.25" customHeight="1">
      <c r="A683" s="264" t="s">
        <v>688</v>
      </c>
      <c r="B683" s="265" t="s">
        <v>1217</v>
      </c>
      <c r="C683" s="265"/>
      <c r="D683" s="265"/>
      <c r="E683" s="265"/>
      <c r="F683" s="265"/>
      <c r="G683" s="265"/>
      <c r="H683" s="265"/>
      <c r="I683" s="265"/>
      <c r="J683" s="265"/>
      <c r="K683" s="265"/>
    </row>
    <row r="684" spans="1:12" ht="18.75" customHeight="1">
      <c r="A684" s="266" t="s">
        <v>28</v>
      </c>
      <c r="B684" s="266" t="s">
        <v>690</v>
      </c>
      <c r="C684" s="266" t="s">
        <v>650</v>
      </c>
      <c r="D684" s="266"/>
      <c r="E684" s="266"/>
      <c r="F684" s="266"/>
      <c r="G684" s="266" t="s">
        <v>651</v>
      </c>
      <c r="H684" s="266"/>
      <c r="I684" s="266" t="s">
        <v>691</v>
      </c>
      <c r="J684" s="266" t="s">
        <v>692</v>
      </c>
      <c r="K684" s="266" t="s">
        <v>693</v>
      </c>
    </row>
    <row r="685" spans="1:12" ht="18.75" customHeight="1">
      <c r="A685" s="266"/>
      <c r="B685" s="267" t="s">
        <v>682</v>
      </c>
      <c r="C685" s="267"/>
      <c r="D685" s="267"/>
      <c r="E685" s="267"/>
      <c r="F685" s="267"/>
      <c r="G685" s="266" t="s">
        <v>81</v>
      </c>
      <c r="H685" s="266"/>
      <c r="I685" s="268">
        <f>ROUND(I658*0.572,3)</f>
        <v>0</v>
      </c>
      <c r="J685" s="380">
        <v>142.25</v>
      </c>
      <c r="K685" s="380">
        <f>ROUND(I685*J685,2)</f>
        <v>0</v>
      </c>
    </row>
    <row r="686" spans="1:12" ht="18.75" customHeight="1">
      <c r="A686" s="266" t="s">
        <v>46</v>
      </c>
      <c r="B686" s="267" t="s">
        <v>362</v>
      </c>
      <c r="C686" s="267"/>
      <c r="D686" s="267"/>
      <c r="E686" s="267"/>
      <c r="F686" s="267"/>
      <c r="G686" s="266" t="s">
        <v>695</v>
      </c>
      <c r="H686" s="266"/>
      <c r="I686" s="268">
        <f>0&amp;"%"</f>
        <v>0</v>
      </c>
      <c r="J686" s="380">
        <f>K651+K671+K672+K673+K674</f>
        <v>0</v>
      </c>
      <c r="K686" s="380">
        <f>ROUND(I686*J686,2)</f>
        <v>0</v>
      </c>
    </row>
    <row r="687" spans="1:12" ht="18.75" customHeight="1">
      <c r="A687" s="266" t="s">
        <v>49</v>
      </c>
      <c r="B687" s="267" t="s">
        <v>363</v>
      </c>
      <c r="C687" s="267"/>
      <c r="D687" s="267"/>
      <c r="E687" s="267"/>
      <c r="F687" s="267"/>
      <c r="G687" s="266" t="s">
        <v>695</v>
      </c>
      <c r="H687" s="266"/>
      <c r="I687" s="268">
        <f>9&amp;"%"</f>
        <v>0</v>
      </c>
      <c r="J687" s="380">
        <f>K651+K671+K672+K673+K674+K686</f>
        <v>0</v>
      </c>
      <c r="K687" s="380">
        <f>ROUND(I687*J687,2)</f>
        <v>0</v>
      </c>
    </row>
    <row r="688" spans="1:12" ht="18.75" customHeight="1">
      <c r="A688" s="266"/>
      <c r="B688" s="267" t="s">
        <v>64</v>
      </c>
      <c r="C688" s="267"/>
      <c r="D688" s="267"/>
      <c r="E688" s="267"/>
      <c r="F688" s="267"/>
      <c r="G688" s="266" t="s">
        <v>695</v>
      </c>
      <c r="H688" s="266"/>
      <c r="I688" s="268"/>
      <c r="J688" s="268"/>
      <c r="K688" s="380">
        <f>K651+K671+K672+K673+K674+K686+K687</f>
        <v>0</v>
      </c>
    </row>
    <row r="689" spans="1:12" ht="18.75" customHeight="1">
      <c r="A689" s="266"/>
      <c r="B689" s="267" t="s">
        <v>752</v>
      </c>
      <c r="C689" s="267"/>
      <c r="D689" s="267"/>
      <c r="E689" s="267"/>
      <c r="F689" s="267"/>
      <c r="G689" s="266" t="s">
        <v>695</v>
      </c>
      <c r="H689" s="266"/>
      <c r="I689" s="268"/>
      <c r="J689" s="268"/>
      <c r="K689" s="380">
        <f>ROUND(K688/100,2)</f>
        <v>0</v>
      </c>
    </row>
    <row r="690" spans="1:11" ht="18.75" customHeight="1">
      <c r="A690" s="266"/>
      <c r="B690" s="267"/>
      <c r="C690" s="267"/>
      <c r="D690" s="267"/>
      <c r="E690" s="267"/>
      <c r="F690" s="267"/>
      <c r="G690" s="266"/>
      <c r="H690" s="266"/>
      <c r="I690" s="268"/>
      <c r="J690" s="268"/>
      <c r="K690" s="268"/>
    </row>
    <row r="691" spans="1:11" ht="18.75" customHeight="1">
      <c r="A691" s="266"/>
      <c r="B691" s="267"/>
      <c r="C691" s="267"/>
      <c r="D691" s="267"/>
      <c r="E691" s="267"/>
      <c r="F691" s="267"/>
      <c r="G691" s="266"/>
      <c r="H691" s="266"/>
      <c r="I691" s="268"/>
      <c r="J691" s="268"/>
      <c r="K691" s="268"/>
    </row>
    <row r="692" spans="1:11" ht="18.75" customHeight="1">
      <c r="A692" s="266"/>
      <c r="B692" s="267"/>
      <c r="C692" s="267"/>
      <c r="D692" s="267"/>
      <c r="E692" s="267"/>
      <c r="F692" s="267"/>
      <c r="G692" s="266"/>
      <c r="H692" s="266"/>
      <c r="I692" s="268"/>
      <c r="J692" s="268"/>
      <c r="K692" s="268"/>
    </row>
    <row r="693" spans="1:11" ht="18.75" customHeight="1">
      <c r="A693" s="266"/>
      <c r="B693" s="267"/>
      <c r="C693" s="267"/>
      <c r="D693" s="267"/>
      <c r="E693" s="267"/>
      <c r="F693" s="267"/>
      <c r="G693" s="266"/>
      <c r="H693" s="266"/>
      <c r="I693" s="268"/>
      <c r="J693" s="268"/>
      <c r="K693" s="268"/>
    </row>
    <row r="694" spans="1:11" ht="18.75" customHeight="1">
      <c r="A694" s="266"/>
      <c r="B694" s="267"/>
      <c r="C694" s="267"/>
      <c r="D694" s="267"/>
      <c r="E694" s="267"/>
      <c r="F694" s="267"/>
      <c r="G694" s="266"/>
      <c r="H694" s="266"/>
      <c r="I694" s="268"/>
      <c r="J694" s="268"/>
      <c r="K694" s="268"/>
    </row>
    <row r="695" spans="1:11" ht="18.75" customHeight="1">
      <c r="A695" s="266"/>
      <c r="B695" s="267"/>
      <c r="C695" s="267"/>
      <c r="D695" s="267"/>
      <c r="E695" s="267"/>
      <c r="F695" s="267"/>
      <c r="G695" s="266"/>
      <c r="H695" s="266"/>
      <c r="I695" s="268"/>
      <c r="J695" s="268"/>
      <c r="K695" s="268"/>
    </row>
    <row r="696" spans="1:11" ht="18.75" customHeight="1">
      <c r="A696" s="266"/>
      <c r="B696" s="267"/>
      <c r="C696" s="267"/>
      <c r="D696" s="267"/>
      <c r="E696" s="267"/>
      <c r="F696" s="267"/>
      <c r="G696" s="266"/>
      <c r="H696" s="266"/>
      <c r="I696" s="268"/>
      <c r="J696" s="268"/>
      <c r="K696" s="268"/>
    </row>
    <row r="697" spans="1:11" ht="18.75" customHeight="1">
      <c r="A697" s="266"/>
      <c r="B697" s="267"/>
      <c r="C697" s="267"/>
      <c r="D697" s="267"/>
      <c r="E697" s="267"/>
      <c r="F697" s="267"/>
      <c r="G697" s="266"/>
      <c r="H697" s="266"/>
      <c r="I697" s="268"/>
      <c r="J697" s="268"/>
      <c r="K697" s="268"/>
    </row>
    <row r="698" spans="1:11" ht="18.75" customHeight="1">
      <c r="A698" s="266"/>
      <c r="B698" s="267"/>
      <c r="C698" s="267"/>
      <c r="D698" s="267"/>
      <c r="E698" s="267"/>
      <c r="F698" s="267"/>
      <c r="G698" s="266"/>
      <c r="H698" s="266"/>
      <c r="I698" s="268"/>
      <c r="J698" s="268"/>
      <c r="K698" s="268"/>
    </row>
    <row r="699" spans="1:11" ht="18.75" customHeight="1">
      <c r="A699" s="266"/>
      <c r="B699" s="267"/>
      <c r="C699" s="267"/>
      <c r="D699" s="267"/>
      <c r="E699" s="267"/>
      <c r="F699" s="267"/>
      <c r="G699" s="266"/>
      <c r="H699" s="266"/>
      <c r="I699" s="268"/>
      <c r="J699" s="268"/>
      <c r="K699" s="268"/>
    </row>
    <row r="700" spans="1:11" ht="18.75" customHeight="1">
      <c r="A700" s="266"/>
      <c r="B700" s="267"/>
      <c r="C700" s="267"/>
      <c r="D700" s="267"/>
      <c r="E700" s="267"/>
      <c r="F700" s="267"/>
      <c r="G700" s="266"/>
      <c r="H700" s="266"/>
      <c r="I700" s="268"/>
      <c r="J700" s="268"/>
      <c r="K700" s="268"/>
    </row>
    <row r="701" spans="1:11" ht="18.75" customHeight="1">
      <c r="A701" s="266"/>
      <c r="B701" s="267"/>
      <c r="C701" s="267"/>
      <c r="D701" s="267"/>
      <c r="E701" s="267"/>
      <c r="F701" s="267"/>
      <c r="G701" s="266"/>
      <c r="H701" s="266"/>
      <c r="I701" s="268"/>
      <c r="J701" s="268"/>
      <c r="K701" s="268"/>
    </row>
    <row r="702" spans="1:11" ht="18.75" customHeight="1">
      <c r="A702" s="266"/>
      <c r="B702" s="267"/>
      <c r="C702" s="267"/>
      <c r="D702" s="267"/>
      <c r="E702" s="267"/>
      <c r="F702" s="267"/>
      <c r="G702" s="266"/>
      <c r="H702" s="266"/>
      <c r="I702" s="268"/>
      <c r="J702" s="268"/>
      <c r="K702" s="268"/>
    </row>
    <row r="703" spans="1:11" ht="18.75" customHeight="1">
      <c r="A703" s="266"/>
      <c r="B703" s="267"/>
      <c r="C703" s="267"/>
      <c r="D703" s="267"/>
      <c r="E703" s="267"/>
      <c r="F703" s="267"/>
      <c r="G703" s="266"/>
      <c r="H703" s="266"/>
      <c r="I703" s="268"/>
      <c r="J703" s="268"/>
      <c r="K703" s="268"/>
    </row>
    <row r="704" spans="1:11" ht="18.75" customHeight="1">
      <c r="A704" s="266"/>
      <c r="B704" s="267"/>
      <c r="C704" s="267"/>
      <c r="D704" s="267"/>
      <c r="E704" s="267"/>
      <c r="F704" s="267"/>
      <c r="G704" s="266"/>
      <c r="H704" s="266"/>
      <c r="I704" s="268"/>
      <c r="J704" s="268"/>
      <c r="K704" s="268"/>
    </row>
    <row r="705" spans="1:11" ht="18.75" customHeight="1">
      <c r="A705" s="266"/>
      <c r="B705" s="267"/>
      <c r="C705" s="267"/>
      <c r="D705" s="267"/>
      <c r="E705" s="267"/>
      <c r="F705" s="267"/>
      <c r="G705" s="266"/>
      <c r="H705" s="266"/>
      <c r="I705" s="268"/>
      <c r="J705" s="268"/>
      <c r="K705" s="268"/>
    </row>
    <row r="706" spans="1:11" ht="18.75" customHeight="1">
      <c r="A706" s="266"/>
      <c r="B706" s="267"/>
      <c r="C706" s="267"/>
      <c r="D706" s="267"/>
      <c r="E706" s="267"/>
      <c r="F706" s="267"/>
      <c r="G706" s="266"/>
      <c r="H706" s="266"/>
      <c r="I706" s="268"/>
      <c r="J706" s="268"/>
      <c r="K706" s="268"/>
    </row>
    <row r="707" spans="1:11" ht="18.75" customHeight="1">
      <c r="A707" s="266"/>
      <c r="B707" s="267"/>
      <c r="C707" s="267"/>
      <c r="D707" s="267"/>
      <c r="E707" s="267"/>
      <c r="F707" s="267"/>
      <c r="G707" s="266"/>
      <c r="H707" s="266"/>
      <c r="I707" s="268"/>
      <c r="J707" s="268"/>
      <c r="K707" s="268"/>
    </row>
    <row r="708" spans="1:11" ht="18.75" customHeight="1">
      <c r="A708" s="266"/>
      <c r="B708" s="267"/>
      <c r="C708" s="267"/>
      <c r="D708" s="267"/>
      <c r="E708" s="267"/>
      <c r="F708" s="267"/>
      <c r="G708" s="266"/>
      <c r="H708" s="266"/>
      <c r="I708" s="268"/>
      <c r="J708" s="268"/>
      <c r="K708" s="268"/>
    </row>
    <row r="709" spans="1:11" ht="18.75" customHeight="1">
      <c r="A709" s="266"/>
      <c r="B709" s="267"/>
      <c r="C709" s="267"/>
      <c r="D709" s="267"/>
      <c r="E709" s="267"/>
      <c r="F709" s="267"/>
      <c r="G709" s="266"/>
      <c r="H709" s="266"/>
      <c r="I709" s="268"/>
      <c r="J709" s="268"/>
      <c r="K709" s="268"/>
    </row>
    <row r="710" spans="1:11" ht="18.75" customHeight="1">
      <c r="A710" s="266"/>
      <c r="B710" s="267"/>
      <c r="C710" s="267"/>
      <c r="D710" s="267"/>
      <c r="E710" s="267"/>
      <c r="F710" s="267"/>
      <c r="G710" s="266"/>
      <c r="H710" s="266"/>
      <c r="I710" s="268"/>
      <c r="J710" s="268"/>
      <c r="K710" s="268"/>
    </row>
    <row r="711" spans="1:11" ht="18.75" customHeight="1">
      <c r="A711" s="266"/>
      <c r="B711" s="267"/>
      <c r="C711" s="267"/>
      <c r="D711" s="267"/>
      <c r="E711" s="267"/>
      <c r="F711" s="267"/>
      <c r="G711" s="266"/>
      <c r="H711" s="266"/>
      <c r="I711" s="268"/>
      <c r="J711" s="268"/>
      <c r="K711" s="268"/>
    </row>
    <row r="712" spans="1:11" ht="18.75" customHeight="1">
      <c r="A712" s="266"/>
      <c r="B712" s="267"/>
      <c r="C712" s="267"/>
      <c r="D712" s="267"/>
      <c r="E712" s="267"/>
      <c r="F712" s="267"/>
      <c r="G712" s="266"/>
      <c r="H712" s="266"/>
      <c r="I712" s="268"/>
      <c r="J712" s="268"/>
      <c r="K712" s="268"/>
    </row>
    <row r="713" spans="1:11" ht="18.75" customHeight="1">
      <c r="A713" s="266"/>
      <c r="B713" s="267"/>
      <c r="C713" s="267"/>
      <c r="D713" s="267"/>
      <c r="E713" s="267"/>
      <c r="F713" s="267"/>
      <c r="G713" s="266"/>
      <c r="H713" s="266"/>
      <c r="I713" s="268"/>
      <c r="J713" s="268"/>
      <c r="K713" s="268"/>
    </row>
    <row r="714" spans="1:11" ht="7.5" customHeight="1">
      <c r="A714" s="259"/>
      <c r="B714" s="259"/>
      <c r="C714" s="259"/>
      <c r="D714" s="259"/>
      <c r="E714" s="259"/>
      <c r="F714" s="259"/>
      <c r="G714" s="259"/>
      <c r="H714" s="259"/>
      <c r="I714" s="259"/>
      <c r="J714" s="259"/>
      <c r="K714" s="259"/>
    </row>
    <row r="715" spans="1:11" ht="26.25" customHeight="1">
      <c r="A715" s="260" t="s">
        <v>684</v>
      </c>
      <c r="B715" s="260"/>
      <c r="C715" s="260"/>
      <c r="D715" s="260"/>
      <c r="E715" s="260"/>
      <c r="F715" s="260"/>
      <c r="G715" s="260"/>
      <c r="H715" s="260"/>
      <c r="I715" s="260"/>
      <c r="J715" s="260"/>
      <c r="K715" s="260"/>
    </row>
    <row r="716" spans="1:11" ht="18.75" customHeight="1">
      <c r="A716" s="261" t="s">
        <v>1246</v>
      </c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</row>
    <row r="717" spans="1:11" ht="18.75" customHeight="1">
      <c r="A717" s="262" t="s">
        <v>686</v>
      </c>
      <c r="B717" s="259" t="s">
        <v>1247</v>
      </c>
      <c r="C717" s="259"/>
      <c r="D717" s="259"/>
      <c r="E717" s="259"/>
      <c r="F717" s="259"/>
      <c r="G717" s="259"/>
      <c r="H717" s="263" t="s">
        <v>687</v>
      </c>
      <c r="I717" s="263"/>
      <c r="J717" s="263"/>
      <c r="K717" s="263"/>
    </row>
    <row r="718" spans="1:11" ht="40.5" customHeight="1">
      <c r="A718" s="264" t="s">
        <v>688</v>
      </c>
      <c r="B718" s="265" t="s">
        <v>1248</v>
      </c>
      <c r="C718" s="265"/>
      <c r="D718" s="265"/>
      <c r="E718" s="265"/>
      <c r="F718" s="265"/>
      <c r="G718" s="265"/>
      <c r="H718" s="265"/>
      <c r="I718" s="265"/>
      <c r="J718" s="265"/>
      <c r="K718" s="265"/>
    </row>
    <row r="719" spans="1:12" ht="18.75" customHeight="1">
      <c r="A719" s="266" t="s">
        <v>28</v>
      </c>
      <c r="B719" s="266" t="s">
        <v>690</v>
      </c>
      <c r="C719" s="266" t="s">
        <v>650</v>
      </c>
      <c r="D719" s="266"/>
      <c r="E719" s="266"/>
      <c r="F719" s="266"/>
      <c r="G719" s="266" t="s">
        <v>651</v>
      </c>
      <c r="H719" s="266"/>
      <c r="I719" s="266" t="s">
        <v>691</v>
      </c>
      <c r="J719" s="266" t="s">
        <v>692</v>
      </c>
      <c r="K719" s="266" t="s">
        <v>693</v>
      </c>
    </row>
    <row r="720" spans="1:12" ht="18.75" customHeight="1">
      <c r="A720" s="266" t="s">
        <v>31</v>
      </c>
      <c r="B720" s="267" t="s">
        <v>694</v>
      </c>
      <c r="C720" s="267"/>
      <c r="D720" s="267"/>
      <c r="E720" s="267"/>
      <c r="F720" s="267"/>
      <c r="G720" s="266" t="s">
        <v>695</v>
      </c>
      <c r="H720" s="266"/>
      <c r="I720" s="268"/>
      <c r="J720" s="268"/>
      <c r="K720" s="380">
        <f>K721+K724+K737+K746+K747</f>
        <v>0</v>
      </c>
    </row>
    <row r="721" spans="1:12" ht="18.75" customHeight="1">
      <c r="A721" s="266" t="s">
        <v>76</v>
      </c>
      <c r="B721" s="267" t="s">
        <v>353</v>
      </c>
      <c r="C721" s="267"/>
      <c r="D721" s="267"/>
      <c r="E721" s="267"/>
      <c r="F721" s="267"/>
      <c r="G721" s="266" t="s">
        <v>695</v>
      </c>
      <c r="H721" s="266"/>
      <c r="I721" s="268"/>
      <c r="J721" s="268"/>
      <c r="K721" s="380">
        <f>SUM(K722:K723)</f>
        <v>0</v>
      </c>
    </row>
    <row r="722" spans="1:12" ht="18.75" customHeight="1">
      <c r="A722" s="266"/>
      <c r="B722" s="267" t="s">
        <v>698</v>
      </c>
      <c r="C722" s="267"/>
      <c r="D722" s="267"/>
      <c r="E722" s="267"/>
      <c r="F722" s="267"/>
      <c r="G722" s="266" t="s">
        <v>699</v>
      </c>
      <c r="H722" s="266"/>
      <c r="I722" s="268">
        <f>ROUND(1777,3)</f>
        <v>0</v>
      </c>
      <c r="J722" s="380">
        <v>3.46</v>
      </c>
      <c r="K722" s="380">
        <f>ROUND(I722*J722,2)</f>
        <v>0</v>
      </c>
    </row>
    <row r="723" spans="1:12" ht="18.75" customHeight="1">
      <c r="A723" s="266"/>
      <c r="B723" s="267" t="s">
        <v>698</v>
      </c>
      <c r="C723" s="267"/>
      <c r="D723" s="267"/>
      <c r="E723" s="267"/>
      <c r="F723" s="267"/>
      <c r="G723" s="266" t="s">
        <v>699</v>
      </c>
      <c r="H723" s="266"/>
      <c r="I723" s="268">
        <f>ROUND(153,3)</f>
        <v>0</v>
      </c>
      <c r="J723" s="380">
        <v>3.46</v>
      </c>
      <c r="K723" s="380">
        <f>ROUND(I723*J723,2)</f>
        <v>0</v>
      </c>
    </row>
    <row r="724" spans="1:12" ht="18.75" customHeight="1">
      <c r="A724" s="266" t="s">
        <v>152</v>
      </c>
      <c r="B724" s="267" t="s">
        <v>354</v>
      </c>
      <c r="C724" s="267"/>
      <c r="D724" s="267"/>
      <c r="E724" s="267"/>
      <c r="F724" s="267"/>
      <c r="G724" s="266" t="s">
        <v>695</v>
      </c>
      <c r="H724" s="266"/>
      <c r="I724" s="268"/>
      <c r="J724" s="268"/>
      <c r="K724" s="380">
        <f>SUM(K725:K736)</f>
        <v>0</v>
      </c>
    </row>
    <row r="725" spans="1:12" ht="18.75" customHeight="1">
      <c r="A725" s="266"/>
      <c r="B725" s="267" t="s">
        <v>1027</v>
      </c>
      <c r="C725" s="267"/>
      <c r="D725" s="267"/>
      <c r="E725" s="267"/>
      <c r="F725" s="267"/>
      <c r="G725" s="266" t="s">
        <v>81</v>
      </c>
      <c r="H725" s="266"/>
      <c r="I725" s="268">
        <f>ROUND(102,3)</f>
        <v>0</v>
      </c>
      <c r="J725" s="380">
        <v>0.5</v>
      </c>
      <c r="K725" s="380">
        <f>ROUND(I725*J725,2)</f>
        <v>0</v>
      </c>
    </row>
    <row r="726" spans="1:12" ht="18.75" customHeight="1">
      <c r="A726" s="266"/>
      <c r="B726" s="267" t="s">
        <v>1257</v>
      </c>
      <c r="C726" s="267"/>
      <c r="D726" s="267"/>
      <c r="E726" s="267"/>
      <c r="F726" s="267"/>
      <c r="G726" s="266" t="s">
        <v>656</v>
      </c>
      <c r="H726" s="266"/>
      <c r="I726" s="268">
        <f>ROUND(761,3)</f>
        <v>0</v>
      </c>
      <c r="J726" s="380">
        <v>3</v>
      </c>
      <c r="K726" s="380">
        <f>ROUND(I726*J726,2)</f>
        <v>0</v>
      </c>
    </row>
    <row r="727" spans="1:12" ht="18.75" customHeight="1">
      <c r="A727" s="266"/>
      <c r="B727" s="267" t="s">
        <v>1260</v>
      </c>
      <c r="C727" s="267"/>
      <c r="D727" s="267"/>
      <c r="E727" s="267"/>
      <c r="F727" s="267"/>
      <c r="G727" s="266" t="s">
        <v>656</v>
      </c>
      <c r="H727" s="266"/>
      <c r="I727" s="268">
        <f>ROUND(0.71,3)</f>
        <v>0</v>
      </c>
      <c r="J727" s="380">
        <v>4.87</v>
      </c>
      <c r="K727" s="380">
        <f>ROUND(I727*J727,2)</f>
        <v>0</v>
      </c>
    </row>
    <row r="728" spans="1:12" ht="18.75" customHeight="1">
      <c r="A728" s="266"/>
      <c r="B728" s="267" t="s">
        <v>671</v>
      </c>
      <c r="C728" s="267"/>
      <c r="D728" s="267"/>
      <c r="E728" s="267"/>
      <c r="F728" s="267"/>
      <c r="G728" s="266" t="s">
        <v>656</v>
      </c>
      <c r="H728" s="266"/>
      <c r="I728" s="268">
        <f>ROUND(710,3)</f>
        <v>0</v>
      </c>
      <c r="J728" s="380">
        <v>6.28</v>
      </c>
      <c r="K728" s="380">
        <f>ROUND(I728*J728,2)</f>
        <v>0</v>
      </c>
    </row>
    <row r="729" spans="1:12" ht="18.75" customHeight="1">
      <c r="A729" s="266"/>
      <c r="B729" s="267" t="s">
        <v>673</v>
      </c>
      <c r="C729" s="267"/>
      <c r="D729" s="267"/>
      <c r="E729" s="267"/>
      <c r="F729" s="267"/>
      <c r="G729" s="266" t="s">
        <v>656</v>
      </c>
      <c r="H729" s="266"/>
      <c r="I729" s="268">
        <f>ROUND(75,3)</f>
        <v>0</v>
      </c>
      <c r="J729" s="380">
        <v>6.11</v>
      </c>
      <c r="K729" s="380">
        <f>ROUND(I729*J729,2)</f>
        <v>0</v>
      </c>
    </row>
    <row r="730" spans="1:12" ht="18.75" customHeight="1">
      <c r="A730" s="266"/>
      <c r="B730" s="267" t="s">
        <v>677</v>
      </c>
      <c r="C730" s="267"/>
      <c r="D730" s="267"/>
      <c r="E730" s="267"/>
      <c r="F730" s="267"/>
      <c r="G730" s="266" t="s">
        <v>81</v>
      </c>
      <c r="H730" s="266"/>
      <c r="I730" s="268">
        <f>ROUND(0.17,3)</f>
        <v>0</v>
      </c>
      <c r="J730" s="380">
        <v>800</v>
      </c>
      <c r="K730" s="380">
        <f>ROUND(I730*J730,2)</f>
        <v>0</v>
      </c>
    </row>
    <row r="731" spans="1:12" ht="18.75" customHeight="1">
      <c r="A731" s="266"/>
      <c r="B731" s="267" t="s">
        <v>1268</v>
      </c>
      <c r="C731" s="267"/>
      <c r="D731" s="267"/>
      <c r="E731" s="267"/>
      <c r="F731" s="267"/>
      <c r="G731" s="266" t="s">
        <v>656</v>
      </c>
      <c r="H731" s="266"/>
      <c r="I731" s="268">
        <f>ROUND(7.86,3)</f>
        <v>0</v>
      </c>
      <c r="J731" s="380">
        <v>5.4</v>
      </c>
      <c r="K731" s="380">
        <f>ROUND(I731*J731,2)</f>
        <v>0</v>
      </c>
    </row>
    <row r="732" spans="1:12" ht="27.75" customHeight="1">
      <c r="A732" s="266"/>
      <c r="B732" s="267" t="s">
        <v>1272</v>
      </c>
      <c r="C732" s="267" t="s">
        <v>1273</v>
      </c>
      <c r="D732" s="267"/>
      <c r="E732" s="267"/>
      <c r="F732" s="267"/>
      <c r="G732" s="266" t="s">
        <v>81</v>
      </c>
      <c r="H732" s="266"/>
      <c r="I732" s="268">
        <f>ROUND(102,3)</f>
        <v>0</v>
      </c>
      <c r="J732" s="380">
        <v>136.88</v>
      </c>
      <c r="K732" s="380">
        <f>ROUND(I732*J732,2)</f>
        <v>0</v>
      </c>
    </row>
    <row r="733" spans="1:12" ht="18.75" customHeight="1">
      <c r="A733" s="266"/>
      <c r="B733" s="267" t="s">
        <v>828</v>
      </c>
      <c r="C733" s="267"/>
      <c r="D733" s="267"/>
      <c r="E733" s="267"/>
      <c r="F733" s="267"/>
      <c r="G733" s="266" t="s">
        <v>334</v>
      </c>
      <c r="H733" s="266"/>
      <c r="I733" s="268">
        <f>ROUND(2,3)</f>
        <v>0</v>
      </c>
      <c r="J733" s="380">
        <f>K725+K726+K727+K728+K729+K730+K731+K732</f>
        <v>0</v>
      </c>
      <c r="K733" s="380">
        <f>ROUND(I733*J733/100,2)</f>
        <v>0</v>
      </c>
    </row>
    <row r="734" spans="1:12" ht="18.75" customHeight="1">
      <c r="A734" s="266"/>
      <c r="B734" s="267" t="s">
        <v>671</v>
      </c>
      <c r="C734" s="267"/>
      <c r="D734" s="267"/>
      <c r="E734" s="267"/>
      <c r="F734" s="267"/>
      <c r="G734" s="266" t="s">
        <v>656</v>
      </c>
      <c r="H734" s="266"/>
      <c r="I734" s="268">
        <f>ROUND(12,3)</f>
        <v>0</v>
      </c>
      <c r="J734" s="380">
        <v>6.28</v>
      </c>
      <c r="K734" s="380">
        <f>ROUND(I734*J734,2)</f>
        <v>0</v>
      </c>
    </row>
    <row r="735" spans="1:12" ht="18.75" customHeight="1">
      <c r="A735" s="266"/>
      <c r="B735" s="267" t="s">
        <v>677</v>
      </c>
      <c r="C735" s="267"/>
      <c r="D735" s="267"/>
      <c r="E735" s="267"/>
      <c r="F735" s="267"/>
      <c r="G735" s="266" t="s">
        <v>81</v>
      </c>
      <c r="H735" s="266"/>
      <c r="I735" s="268">
        <f>ROUND(0.17,3)</f>
        <v>0</v>
      </c>
      <c r="J735" s="380">
        <v>800</v>
      </c>
      <c r="K735" s="380">
        <f>ROUND(I735*J735,2)</f>
        <v>0</v>
      </c>
    </row>
    <row r="736" spans="1:12" ht="18.75" customHeight="1">
      <c r="A736" s="266"/>
      <c r="B736" s="267" t="s">
        <v>828</v>
      </c>
      <c r="C736" s="267"/>
      <c r="D736" s="267"/>
      <c r="E736" s="267"/>
      <c r="F736" s="267"/>
      <c r="G736" s="266" t="s">
        <v>334</v>
      </c>
      <c r="H736" s="266"/>
      <c r="I736" s="268">
        <f>ROUND(1,3)</f>
        <v>0</v>
      </c>
      <c r="J736" s="380">
        <f>K734+K735</f>
        <v>0</v>
      </c>
      <c r="K736" s="380">
        <f>ROUND(I736*J736/100,2)</f>
        <v>0</v>
      </c>
    </row>
    <row r="737" spans="1:12" ht="18.75" customHeight="1">
      <c r="A737" s="266" t="s">
        <v>704</v>
      </c>
      <c r="B737" s="267" t="s">
        <v>705</v>
      </c>
      <c r="C737" s="267"/>
      <c r="D737" s="267"/>
      <c r="E737" s="267"/>
      <c r="F737" s="267"/>
      <c r="G737" s="266" t="s">
        <v>695</v>
      </c>
      <c r="H737" s="266"/>
      <c r="I737" s="268"/>
      <c r="J737" s="268"/>
      <c r="K737" s="380">
        <f>SUM(K738:K745)</f>
        <v>0</v>
      </c>
    </row>
    <row r="738" spans="1:12" ht="18.75" customHeight="1">
      <c r="A738" s="266"/>
      <c r="B738" s="267" t="s">
        <v>1053</v>
      </c>
      <c r="C738" s="267" t="s">
        <v>1054</v>
      </c>
      <c r="D738" s="267"/>
      <c r="E738" s="267"/>
      <c r="F738" s="267"/>
      <c r="G738" s="266" t="s">
        <v>709</v>
      </c>
      <c r="H738" s="266"/>
      <c r="I738" s="268">
        <f>ROUND(18.45,3)</f>
        <v>0</v>
      </c>
      <c r="J738" s="380">
        <v>20.6</v>
      </c>
      <c r="K738" s="380">
        <f>ROUND(I738*J738,2)</f>
        <v>0</v>
      </c>
    </row>
    <row r="739" spans="1:12" ht="18.75" customHeight="1">
      <c r="A739" s="266"/>
      <c r="B739" s="267" t="s">
        <v>1041</v>
      </c>
      <c r="C739" s="267" t="s">
        <v>1284</v>
      </c>
      <c r="D739" s="267"/>
      <c r="E739" s="267"/>
      <c r="F739" s="267"/>
      <c r="G739" s="266" t="s">
        <v>709</v>
      </c>
      <c r="H739" s="266"/>
      <c r="I739" s="268">
        <f>ROUND(48.6,3)</f>
        <v>0</v>
      </c>
      <c r="J739" s="380">
        <v>3.62</v>
      </c>
      <c r="K739" s="380">
        <f>ROUND(I739*J739,2)</f>
        <v>0</v>
      </c>
    </row>
    <row r="740" spans="1:12" ht="18.75" customHeight="1">
      <c r="A740" s="266"/>
      <c r="B740" s="267" t="s">
        <v>1288</v>
      </c>
      <c r="C740" s="267" t="s">
        <v>1289</v>
      </c>
      <c r="D740" s="267"/>
      <c r="E740" s="267"/>
      <c r="F740" s="267"/>
      <c r="G740" s="266" t="s">
        <v>709</v>
      </c>
      <c r="H740" s="266"/>
      <c r="I740" s="268">
        <f>ROUND(1.62,3)</f>
        <v>0</v>
      </c>
      <c r="J740" s="380">
        <v>42.94</v>
      </c>
      <c r="K740" s="380">
        <f>ROUND(I740*J740,2)</f>
        <v>0</v>
      </c>
    </row>
    <row r="741" spans="1:12" ht="18.75" customHeight="1">
      <c r="A741" s="266"/>
      <c r="B741" s="267" t="s">
        <v>1292</v>
      </c>
      <c r="C741" s="267" t="s">
        <v>1293</v>
      </c>
      <c r="D741" s="267"/>
      <c r="E741" s="267"/>
      <c r="F741" s="267"/>
      <c r="G741" s="266" t="s">
        <v>709</v>
      </c>
      <c r="H741" s="266"/>
      <c r="I741" s="268">
        <f>ROUND(9.59,3)</f>
        <v>0</v>
      </c>
      <c r="J741" s="380">
        <v>26.92</v>
      </c>
      <c r="K741" s="380">
        <f>ROUND(I741*J741,2)</f>
        <v>0</v>
      </c>
    </row>
    <row r="742" spans="1:12" ht="18.75" customHeight="1">
      <c r="A742" s="266"/>
      <c r="B742" s="267" t="s">
        <v>883</v>
      </c>
      <c r="C742" s="267"/>
      <c r="D742" s="267"/>
      <c r="E742" s="267"/>
      <c r="F742" s="267"/>
      <c r="G742" s="266" t="s">
        <v>334</v>
      </c>
      <c r="H742" s="266"/>
      <c r="I742" s="268">
        <f>ROUND(15,3)</f>
        <v>0</v>
      </c>
      <c r="J742" s="380">
        <f>K738+K739+K740+K741</f>
        <v>0</v>
      </c>
      <c r="K742" s="380">
        <f>ROUND(I742*J742/100,2)</f>
        <v>0</v>
      </c>
    </row>
    <row r="743" spans="1:12" ht="18.75" customHeight="1">
      <c r="A743" s="266"/>
      <c r="B743" s="267" t="s">
        <v>1288</v>
      </c>
      <c r="C743" s="267" t="s">
        <v>1299</v>
      </c>
      <c r="D743" s="267"/>
      <c r="E743" s="267"/>
      <c r="F743" s="267"/>
      <c r="G743" s="266" t="s">
        <v>709</v>
      </c>
      <c r="H743" s="266"/>
      <c r="I743" s="268">
        <f>ROUND(39.6,3)</f>
        <v>0</v>
      </c>
      <c r="J743" s="380">
        <v>68.84</v>
      </c>
      <c r="K743" s="380">
        <f>ROUND(I743*J743,2)</f>
        <v>0</v>
      </c>
    </row>
    <row r="744" spans="1:12" ht="18.75" customHeight="1">
      <c r="A744" s="266"/>
      <c r="B744" s="267" t="s">
        <v>1303</v>
      </c>
      <c r="C744" s="267" t="s">
        <v>1304</v>
      </c>
      <c r="D744" s="267"/>
      <c r="E744" s="267"/>
      <c r="F744" s="267"/>
      <c r="G744" s="266" t="s">
        <v>709</v>
      </c>
      <c r="H744" s="266"/>
      <c r="I744" s="268">
        <f>ROUND(39.6,3)</f>
        <v>0</v>
      </c>
      <c r="J744" s="380">
        <v>49.56</v>
      </c>
      <c r="K744" s="380">
        <f>ROUND(I744*J744,2)</f>
        <v>0</v>
      </c>
    </row>
    <row r="745" spans="1:12" ht="18.75" customHeight="1">
      <c r="A745" s="266"/>
      <c r="B745" s="267" t="s">
        <v>883</v>
      </c>
      <c r="C745" s="267"/>
      <c r="D745" s="267"/>
      <c r="E745" s="267"/>
      <c r="F745" s="267"/>
      <c r="G745" s="266" t="s">
        <v>334</v>
      </c>
      <c r="H745" s="266"/>
      <c r="I745" s="268">
        <f>ROUND(0.5,3)</f>
        <v>0</v>
      </c>
      <c r="J745" s="380">
        <f>K743+K744</f>
        <v>0</v>
      </c>
      <c r="K745" s="380">
        <f>ROUND(I745*J745/100,2)</f>
        <v>0</v>
      </c>
    </row>
    <row r="746" spans="1:12" ht="18.75" customHeight="1">
      <c r="A746" s="266" t="s">
        <v>721</v>
      </c>
      <c r="B746" s="267" t="s">
        <v>722</v>
      </c>
      <c r="C746" s="267"/>
      <c r="D746" s="267"/>
      <c r="E746" s="267"/>
      <c r="F746" s="267"/>
      <c r="G746" s="266" t="s">
        <v>695</v>
      </c>
      <c r="H746" s="266"/>
      <c r="I746" s="268">
        <f>3.5&amp;"%"</f>
        <v>0</v>
      </c>
      <c r="J746" s="380">
        <f>K721+K724+K737</f>
        <v>0</v>
      </c>
      <c r="K746" s="380">
        <f>ROUND(I746*J746,2)</f>
        <v>0</v>
      </c>
    </row>
    <row r="747" spans="1:12" ht="18.75" customHeight="1">
      <c r="A747" s="266" t="s">
        <v>348</v>
      </c>
      <c r="B747" s="267" t="s">
        <v>726</v>
      </c>
      <c r="C747" s="267"/>
      <c r="D747" s="267"/>
      <c r="E747" s="267"/>
      <c r="F747" s="267"/>
      <c r="G747" s="266" t="s">
        <v>695</v>
      </c>
      <c r="H747" s="266"/>
      <c r="I747" s="268">
        <f>6&amp;"%"</f>
        <v>0</v>
      </c>
      <c r="J747" s="380">
        <f>K721+K724+K737</f>
        <v>0</v>
      </c>
      <c r="K747" s="380">
        <f>ROUND(I747*J747,2)</f>
        <v>0</v>
      </c>
    </row>
    <row r="748" spans="1:12" ht="18.75" customHeight="1">
      <c r="A748" s="266" t="s">
        <v>34</v>
      </c>
      <c r="B748" s="267" t="s">
        <v>729</v>
      </c>
      <c r="C748" s="267"/>
      <c r="D748" s="267"/>
      <c r="E748" s="267"/>
      <c r="F748" s="267"/>
      <c r="G748" s="266" t="s">
        <v>695</v>
      </c>
      <c r="H748" s="266"/>
      <c r="I748" s="268">
        <f>3.7&amp;"%"</f>
        <v>0</v>
      </c>
      <c r="J748" s="380">
        <f>K720</f>
        <v>0</v>
      </c>
      <c r="K748" s="380">
        <f>ROUND(I748*J748,2)</f>
        <v>0</v>
      </c>
    </row>
    <row r="749" spans="1:11" ht="7.5" customHeight="1">
      <c r="A749" s="259"/>
      <c r="B749" s="259"/>
      <c r="C749" s="259"/>
      <c r="D749" s="259"/>
      <c r="E749" s="259"/>
      <c r="F749" s="259"/>
      <c r="G749" s="259"/>
      <c r="H749" s="259"/>
      <c r="I749" s="259"/>
      <c r="J749" s="259"/>
      <c r="K749" s="259"/>
    </row>
    <row r="750" spans="1:11" ht="26.25" customHeight="1">
      <c r="A750" s="260" t="s">
        <v>684</v>
      </c>
      <c r="B750" s="260"/>
      <c r="C750" s="260"/>
      <c r="D750" s="260"/>
      <c r="E750" s="260"/>
      <c r="F750" s="260"/>
      <c r="G750" s="260"/>
      <c r="H750" s="260"/>
      <c r="I750" s="260"/>
      <c r="J750" s="260"/>
      <c r="K750" s="260"/>
    </row>
    <row r="751" spans="1:11" ht="18.75" customHeight="1">
      <c r="A751" s="261" t="s">
        <v>1246</v>
      </c>
      <c r="B751" s="261"/>
      <c r="C751" s="261"/>
      <c r="D751" s="261"/>
      <c r="E751" s="261"/>
      <c r="F751" s="261"/>
      <c r="G751" s="261"/>
      <c r="H751" s="261"/>
      <c r="I751" s="261"/>
      <c r="J751" s="261"/>
      <c r="K751" s="261"/>
    </row>
    <row r="752" spans="1:11" ht="18.75" customHeight="1">
      <c r="A752" s="262" t="s">
        <v>686</v>
      </c>
      <c r="B752" s="259" t="s">
        <v>1247</v>
      </c>
      <c r="C752" s="259"/>
      <c r="D752" s="259"/>
      <c r="E752" s="259"/>
      <c r="F752" s="259"/>
      <c r="G752" s="259"/>
      <c r="H752" s="263" t="s">
        <v>687</v>
      </c>
      <c r="I752" s="263"/>
      <c r="J752" s="263"/>
      <c r="K752" s="263"/>
    </row>
    <row r="753" spans="1:11" ht="40.5" customHeight="1">
      <c r="A753" s="264" t="s">
        <v>688</v>
      </c>
      <c r="B753" s="265" t="s">
        <v>1248</v>
      </c>
      <c r="C753" s="265"/>
      <c r="D753" s="265"/>
      <c r="E753" s="265"/>
      <c r="F753" s="265"/>
      <c r="G753" s="265"/>
      <c r="H753" s="265"/>
      <c r="I753" s="265"/>
      <c r="J753" s="265"/>
      <c r="K753" s="265"/>
    </row>
    <row r="754" spans="1:12" ht="18.75" customHeight="1">
      <c r="A754" s="266" t="s">
        <v>28</v>
      </c>
      <c r="B754" s="266" t="s">
        <v>690</v>
      </c>
      <c r="C754" s="266" t="s">
        <v>650</v>
      </c>
      <c r="D754" s="266"/>
      <c r="E754" s="266"/>
      <c r="F754" s="266"/>
      <c r="G754" s="266" t="s">
        <v>651</v>
      </c>
      <c r="H754" s="266"/>
      <c r="I754" s="266" t="s">
        <v>691</v>
      </c>
      <c r="J754" s="266" t="s">
        <v>692</v>
      </c>
      <c r="K754" s="266" t="s">
        <v>693</v>
      </c>
    </row>
    <row r="755" spans="1:12" ht="18.75" customHeight="1">
      <c r="A755" s="266" t="s">
        <v>37</v>
      </c>
      <c r="B755" s="267" t="s">
        <v>732</v>
      </c>
      <c r="C755" s="267"/>
      <c r="D755" s="267"/>
      <c r="E755" s="267"/>
      <c r="F755" s="267"/>
      <c r="G755" s="266" t="s">
        <v>695</v>
      </c>
      <c r="H755" s="266"/>
      <c r="I755" s="268">
        <f>32.8&amp;"%"</f>
        <v>0</v>
      </c>
      <c r="J755" s="380">
        <f>K721+ROUND(I738*1.3*3.46,2)+ROUND(I740*1.3*3.46,2)+ROUND(I743*1.3*3.46,2)+ROUND(I744*2.7*3.46,2)</f>
        <v>0</v>
      </c>
      <c r="K755" s="380">
        <f>ROUND(I755*J755,2)</f>
        <v>0</v>
      </c>
    </row>
    <row r="756" spans="1:12" ht="18.75" customHeight="1">
      <c r="A756" s="266" t="s">
        <v>40</v>
      </c>
      <c r="B756" s="267" t="s">
        <v>736</v>
      </c>
      <c r="C756" s="267"/>
      <c r="D756" s="267"/>
      <c r="E756" s="267"/>
      <c r="F756" s="267"/>
      <c r="G756" s="266" t="s">
        <v>695</v>
      </c>
      <c r="H756" s="266"/>
      <c r="I756" s="268">
        <f>7&amp;"%"</f>
        <v>0</v>
      </c>
      <c r="J756" s="380">
        <f>K720+K748+K755</f>
        <v>0</v>
      </c>
      <c r="K756" s="380">
        <f>ROUND(I756*J756,2)</f>
        <v>0</v>
      </c>
    </row>
    <row r="757" spans="1:12" ht="18.75" customHeight="1">
      <c r="A757" s="266" t="s">
        <v>43</v>
      </c>
      <c r="B757" s="267" t="s">
        <v>361</v>
      </c>
      <c r="C757" s="267"/>
      <c r="D757" s="267"/>
      <c r="E757" s="267"/>
      <c r="F757" s="267"/>
      <c r="G757" s="266" t="s">
        <v>695</v>
      </c>
      <c r="H757" s="266"/>
      <c r="I757" s="268"/>
      <c r="J757" s="268"/>
      <c r="K757" s="380">
        <f>SUM(K758:K766)</f>
        <v>0</v>
      </c>
    </row>
    <row r="758" spans="1:12" ht="18.75" customHeight="1">
      <c r="A758" s="266"/>
      <c r="B758" s="267" t="s">
        <v>698</v>
      </c>
      <c r="C758" s="267"/>
      <c r="D758" s="267"/>
      <c r="E758" s="267"/>
      <c r="F758" s="267"/>
      <c r="G758" s="266" t="s">
        <v>699</v>
      </c>
      <c r="H758" s="266"/>
      <c r="I758" s="268">
        <f>ROUND(I722+I723,3)</f>
        <v>0</v>
      </c>
      <c r="J758" s="380">
        <v>4</v>
      </c>
      <c r="K758" s="380">
        <f>ROUND(I758*J758,2)</f>
        <v>0</v>
      </c>
    </row>
    <row r="759" spans="1:12" ht="18.75" customHeight="1">
      <c r="A759" s="266"/>
      <c r="B759" s="267" t="s">
        <v>741</v>
      </c>
      <c r="C759" s="267"/>
      <c r="D759" s="267"/>
      <c r="E759" s="267"/>
      <c r="F759" s="267"/>
      <c r="G759" s="266" t="s">
        <v>699</v>
      </c>
      <c r="H759" s="266"/>
      <c r="I759" s="268">
        <f>ROUND(I738*1.3+I740*1.3+I743*1.3+I744*2.7,3)</f>
        <v>0</v>
      </c>
      <c r="J759" s="380">
        <v>4</v>
      </c>
      <c r="K759" s="380">
        <f>ROUND(I759*J759,2)</f>
        <v>0</v>
      </c>
    </row>
    <row r="760" spans="1:12" ht="18.75" customHeight="1">
      <c r="A760" s="266"/>
      <c r="B760" s="267" t="s">
        <v>1257</v>
      </c>
      <c r="C760" s="267"/>
      <c r="D760" s="267"/>
      <c r="E760" s="267"/>
      <c r="F760" s="267"/>
      <c r="G760" s="266" t="s">
        <v>656</v>
      </c>
      <c r="H760" s="266"/>
      <c r="I760" s="268">
        <f>ROUND(I726,3)</f>
        <v>0</v>
      </c>
      <c r="J760" s="380">
        <v>3.02</v>
      </c>
      <c r="K760" s="380">
        <f>ROUND(I760*J760,2)</f>
        <v>0</v>
      </c>
    </row>
    <row r="761" spans="1:12" ht="18.75" customHeight="1">
      <c r="A761" s="266"/>
      <c r="B761" s="267" t="s">
        <v>658</v>
      </c>
      <c r="C761" s="267" t="s">
        <v>659</v>
      </c>
      <c r="D761" s="267"/>
      <c r="E761" s="267"/>
      <c r="F761" s="267"/>
      <c r="G761" s="266" t="s">
        <v>149</v>
      </c>
      <c r="H761" s="266"/>
      <c r="I761" s="268">
        <f>ROUND(I732*388.3*0.001,3)</f>
        <v>0</v>
      </c>
      <c r="J761" s="380">
        <v>206.26</v>
      </c>
      <c r="K761" s="380">
        <f>ROUND(I761*J761,2)</f>
        <v>0</v>
      </c>
    </row>
    <row r="762" spans="1:12" ht="18.75" customHeight="1">
      <c r="A762" s="266"/>
      <c r="B762" s="267" t="s">
        <v>661</v>
      </c>
      <c r="C762" s="267"/>
      <c r="D762" s="267"/>
      <c r="E762" s="267"/>
      <c r="F762" s="267"/>
      <c r="G762" s="266" t="s">
        <v>81</v>
      </c>
      <c r="H762" s="266"/>
      <c r="I762" s="268">
        <f>ROUND(I732*0.7738,3)</f>
        <v>0</v>
      </c>
      <c r="J762" s="380">
        <v>102.44</v>
      </c>
      <c r="K762" s="380">
        <f>ROUND(I762*J762,2)</f>
        <v>0</v>
      </c>
    </row>
    <row r="763" spans="1:12" ht="18.75" customHeight="1">
      <c r="A763" s="266"/>
      <c r="B763" s="267" t="s">
        <v>663</v>
      </c>
      <c r="C763" s="267" t="s">
        <v>664</v>
      </c>
      <c r="D763" s="267"/>
      <c r="E763" s="267"/>
      <c r="F763" s="267"/>
      <c r="G763" s="266" t="s">
        <v>656</v>
      </c>
      <c r="H763" s="266"/>
      <c r="I763" s="268">
        <f>ROUND(I743*8.9,3)</f>
        <v>0</v>
      </c>
      <c r="J763" s="380">
        <v>2.56</v>
      </c>
      <c r="K763" s="380">
        <f>ROUND(I763*J763,2)</f>
        <v>0</v>
      </c>
    </row>
    <row r="764" spans="1:12" ht="18.75" customHeight="1">
      <c r="A764" s="266"/>
      <c r="B764" s="267" t="s">
        <v>666</v>
      </c>
      <c r="C764" s="267" t="s">
        <v>667</v>
      </c>
      <c r="D764" s="267"/>
      <c r="E764" s="267"/>
      <c r="F764" s="267"/>
      <c r="G764" s="266" t="s">
        <v>656</v>
      </c>
      <c r="H764" s="266"/>
      <c r="I764" s="268">
        <f>ROUND(I740*7.2+I744*5.8,3)</f>
        <v>0</v>
      </c>
      <c r="J764" s="380">
        <v>3.71</v>
      </c>
      <c r="K764" s="380">
        <f>ROUND(I764*J764,2)</f>
        <v>0</v>
      </c>
    </row>
    <row r="765" spans="1:12" ht="18.75" customHeight="1">
      <c r="A765" s="266"/>
      <c r="B765" s="267" t="s">
        <v>677</v>
      </c>
      <c r="C765" s="267"/>
      <c r="D765" s="267"/>
      <c r="E765" s="267"/>
      <c r="F765" s="267"/>
      <c r="G765" s="266" t="s">
        <v>81</v>
      </c>
      <c r="H765" s="266"/>
      <c r="I765" s="268">
        <f>ROUND(I730+I735,3)</f>
        <v>0</v>
      </c>
      <c r="J765" s="380">
        <v>527.43</v>
      </c>
      <c r="K765" s="380">
        <f>ROUND(I765*J765,2)</f>
        <v>0</v>
      </c>
    </row>
    <row r="766" spans="1:12" ht="18.75" customHeight="1">
      <c r="A766" s="266"/>
      <c r="B766" s="267" t="s">
        <v>682</v>
      </c>
      <c r="C766" s="267"/>
      <c r="D766" s="267"/>
      <c r="E766" s="267"/>
      <c r="F766" s="267"/>
      <c r="G766" s="266" t="s">
        <v>81</v>
      </c>
      <c r="H766" s="266"/>
      <c r="I766" s="268">
        <f>ROUND(I732*0.55,3)</f>
        <v>0</v>
      </c>
      <c r="J766" s="380">
        <v>142.25</v>
      </c>
      <c r="K766" s="380">
        <f>ROUND(I766*J766,2)</f>
        <v>0</v>
      </c>
    </row>
    <row r="767" spans="1:12" ht="18.75" customHeight="1">
      <c r="A767" s="266" t="s">
        <v>46</v>
      </c>
      <c r="B767" s="267" t="s">
        <v>362</v>
      </c>
      <c r="C767" s="267"/>
      <c r="D767" s="267"/>
      <c r="E767" s="267"/>
      <c r="F767" s="267"/>
      <c r="G767" s="266" t="s">
        <v>695</v>
      </c>
      <c r="H767" s="266"/>
      <c r="I767" s="268">
        <f>0&amp;"%"</f>
        <v>0</v>
      </c>
      <c r="J767" s="380">
        <f>K720+K748+K755+K756+K757</f>
        <v>0</v>
      </c>
      <c r="K767" s="380">
        <f>ROUND(I767*J767,2)</f>
        <v>0</v>
      </c>
    </row>
    <row r="768" spans="1:12" ht="18.75" customHeight="1">
      <c r="A768" s="266" t="s">
        <v>49</v>
      </c>
      <c r="B768" s="267" t="s">
        <v>363</v>
      </c>
      <c r="C768" s="267"/>
      <c r="D768" s="267"/>
      <c r="E768" s="267"/>
      <c r="F768" s="267"/>
      <c r="G768" s="266" t="s">
        <v>695</v>
      </c>
      <c r="H768" s="266"/>
      <c r="I768" s="268">
        <f>9&amp;"%"</f>
        <v>0</v>
      </c>
      <c r="J768" s="380">
        <f>K720+K748+K755+K756+K757+K767</f>
        <v>0</v>
      </c>
      <c r="K768" s="380">
        <f>ROUND(I768*J768,2)</f>
        <v>0</v>
      </c>
    </row>
    <row r="769" spans="1:12" ht="18.75" customHeight="1">
      <c r="A769" s="266"/>
      <c r="B769" s="267" t="s">
        <v>64</v>
      </c>
      <c r="C769" s="267"/>
      <c r="D769" s="267"/>
      <c r="E769" s="267"/>
      <c r="F769" s="267"/>
      <c r="G769" s="266" t="s">
        <v>695</v>
      </c>
      <c r="H769" s="266"/>
      <c r="I769" s="268"/>
      <c r="J769" s="268"/>
      <c r="K769" s="380">
        <f>K720+K748+K755+K756+K757+K767+K768</f>
        <v>0</v>
      </c>
    </row>
    <row r="770" spans="1:12" ht="18.75" customHeight="1">
      <c r="A770" s="266"/>
      <c r="B770" s="267" t="s">
        <v>752</v>
      </c>
      <c r="C770" s="267"/>
      <c r="D770" s="267"/>
      <c r="E770" s="267"/>
      <c r="F770" s="267"/>
      <c r="G770" s="266" t="s">
        <v>695</v>
      </c>
      <c r="H770" s="266"/>
      <c r="I770" s="268"/>
      <c r="J770" s="268"/>
      <c r="K770" s="380">
        <f>ROUND(K769/100,2)</f>
        <v>0</v>
      </c>
    </row>
    <row r="771" spans="1:11" ht="18.75" customHeight="1">
      <c r="A771" s="266"/>
      <c r="B771" s="267"/>
      <c r="C771" s="267"/>
      <c r="D771" s="267"/>
      <c r="E771" s="267"/>
      <c r="F771" s="267"/>
      <c r="G771" s="266"/>
      <c r="H771" s="266"/>
      <c r="I771" s="268"/>
      <c r="J771" s="268"/>
      <c r="K771" s="268"/>
    </row>
    <row r="772" spans="1:11" ht="18.75" customHeight="1">
      <c r="A772" s="266"/>
      <c r="B772" s="267"/>
      <c r="C772" s="267"/>
      <c r="D772" s="267"/>
      <c r="E772" s="267"/>
      <c r="F772" s="267"/>
      <c r="G772" s="266"/>
      <c r="H772" s="266"/>
      <c r="I772" s="268"/>
      <c r="J772" s="268"/>
      <c r="K772" s="268"/>
    </row>
    <row r="773" spans="1:11" ht="18.75" customHeight="1">
      <c r="A773" s="266"/>
      <c r="B773" s="267"/>
      <c r="C773" s="267"/>
      <c r="D773" s="267"/>
      <c r="E773" s="267"/>
      <c r="F773" s="267"/>
      <c r="G773" s="266"/>
      <c r="H773" s="266"/>
      <c r="I773" s="268"/>
      <c r="J773" s="268"/>
      <c r="K773" s="268"/>
    </row>
    <row r="774" spans="1:11" ht="18.75" customHeight="1">
      <c r="A774" s="266"/>
      <c r="B774" s="267"/>
      <c r="C774" s="267"/>
      <c r="D774" s="267"/>
      <c r="E774" s="267"/>
      <c r="F774" s="267"/>
      <c r="G774" s="266"/>
      <c r="H774" s="266"/>
      <c r="I774" s="268"/>
      <c r="J774" s="268"/>
      <c r="K774" s="268"/>
    </row>
    <row r="775" spans="1:11" ht="18.75" customHeight="1">
      <c r="A775" s="266"/>
      <c r="B775" s="267"/>
      <c r="C775" s="267"/>
      <c r="D775" s="267"/>
      <c r="E775" s="267"/>
      <c r="F775" s="267"/>
      <c r="G775" s="266"/>
      <c r="H775" s="266"/>
      <c r="I775" s="268"/>
      <c r="J775" s="268"/>
      <c r="K775" s="268"/>
    </row>
    <row r="776" spans="1:11" ht="18.75" customHeight="1">
      <c r="A776" s="266"/>
      <c r="B776" s="267"/>
      <c r="C776" s="267"/>
      <c r="D776" s="267"/>
      <c r="E776" s="267"/>
      <c r="F776" s="267"/>
      <c r="G776" s="266"/>
      <c r="H776" s="266"/>
      <c r="I776" s="268"/>
      <c r="J776" s="268"/>
      <c r="K776" s="268"/>
    </row>
    <row r="777" spans="1:11" ht="18.75" customHeight="1">
      <c r="A777" s="266"/>
      <c r="B777" s="267"/>
      <c r="C777" s="267"/>
      <c r="D777" s="267"/>
      <c r="E777" s="267"/>
      <c r="F777" s="267"/>
      <c r="G777" s="266"/>
      <c r="H777" s="266"/>
      <c r="I777" s="268"/>
      <c r="J777" s="268"/>
      <c r="K777" s="268"/>
    </row>
    <row r="778" spans="1:11" ht="18.75" customHeight="1">
      <c r="A778" s="266"/>
      <c r="B778" s="267"/>
      <c r="C778" s="267"/>
      <c r="D778" s="267"/>
      <c r="E778" s="267"/>
      <c r="F778" s="267"/>
      <c r="G778" s="266"/>
      <c r="H778" s="266"/>
      <c r="I778" s="268"/>
      <c r="J778" s="268"/>
      <c r="K778" s="268"/>
    </row>
    <row r="779" spans="1:11" ht="18.75" customHeight="1">
      <c r="A779" s="266"/>
      <c r="B779" s="267"/>
      <c r="C779" s="267"/>
      <c r="D779" s="267"/>
      <c r="E779" s="267"/>
      <c r="F779" s="267"/>
      <c r="G779" s="266"/>
      <c r="H779" s="266"/>
      <c r="I779" s="268"/>
      <c r="J779" s="268"/>
      <c r="K779" s="268"/>
    </row>
    <row r="780" spans="1:11" ht="18.75" customHeight="1">
      <c r="A780" s="266"/>
      <c r="B780" s="267"/>
      <c r="C780" s="267"/>
      <c r="D780" s="267"/>
      <c r="E780" s="267"/>
      <c r="F780" s="267"/>
      <c r="G780" s="266"/>
      <c r="H780" s="266"/>
      <c r="I780" s="268"/>
      <c r="J780" s="268"/>
      <c r="K780" s="268"/>
    </row>
    <row r="781" spans="1:11" ht="18.75" customHeight="1">
      <c r="A781" s="266"/>
      <c r="B781" s="267"/>
      <c r="C781" s="267"/>
      <c r="D781" s="267"/>
      <c r="E781" s="267"/>
      <c r="F781" s="267"/>
      <c r="G781" s="266"/>
      <c r="H781" s="266"/>
      <c r="I781" s="268"/>
      <c r="J781" s="268"/>
      <c r="K781" s="268"/>
    </row>
    <row r="782" spans="1:11" ht="18.75" customHeight="1">
      <c r="A782" s="266"/>
      <c r="B782" s="267"/>
      <c r="C782" s="267"/>
      <c r="D782" s="267"/>
      <c r="E782" s="267"/>
      <c r="F782" s="267"/>
      <c r="G782" s="266"/>
      <c r="H782" s="266"/>
      <c r="I782" s="268"/>
      <c r="J782" s="268"/>
      <c r="K782" s="268"/>
    </row>
    <row r="783" spans="1:11" ht="18.75" customHeight="1">
      <c r="A783" s="266"/>
      <c r="B783" s="267"/>
      <c r="C783" s="267"/>
      <c r="D783" s="267"/>
      <c r="E783" s="267"/>
      <c r="F783" s="267"/>
      <c r="G783" s="266"/>
      <c r="H783" s="266"/>
      <c r="I783" s="268"/>
      <c r="J783" s="268"/>
      <c r="K783" s="268"/>
    </row>
    <row r="784" spans="1:11" ht="18.75" customHeight="1">
      <c r="A784" s="266"/>
      <c r="B784" s="267"/>
      <c r="C784" s="267"/>
      <c r="D784" s="267"/>
      <c r="E784" s="267"/>
      <c r="F784" s="267"/>
      <c r="G784" s="266"/>
      <c r="H784" s="266"/>
      <c r="I784" s="268"/>
      <c r="J784" s="268"/>
      <c r="K784" s="268"/>
    </row>
    <row r="785" spans="1:11" ht="7.5" customHeight="1">
      <c r="A785" s="259"/>
      <c r="B785" s="259"/>
      <c r="C785" s="259"/>
      <c r="D785" s="259"/>
      <c r="E785" s="259"/>
      <c r="F785" s="259"/>
      <c r="G785" s="259"/>
      <c r="H785" s="259"/>
      <c r="I785" s="259"/>
      <c r="J785" s="259"/>
      <c r="K785" s="259"/>
    </row>
    <row r="786" spans="1:11" ht="26.25" customHeight="1">
      <c r="A786" s="260" t="s">
        <v>684</v>
      </c>
      <c r="B786" s="260"/>
      <c r="C786" s="260"/>
      <c r="D786" s="260"/>
      <c r="E786" s="260"/>
      <c r="F786" s="260"/>
      <c r="G786" s="260"/>
      <c r="H786" s="260"/>
      <c r="I786" s="260"/>
      <c r="J786" s="260"/>
      <c r="K786" s="260"/>
    </row>
    <row r="787" spans="1:11" ht="18.75" customHeight="1">
      <c r="A787" s="261" t="s">
        <v>1340</v>
      </c>
      <c r="B787" s="261"/>
      <c r="C787" s="261"/>
      <c r="D787" s="261"/>
      <c r="E787" s="261"/>
      <c r="F787" s="261"/>
      <c r="G787" s="261"/>
      <c r="H787" s="261"/>
      <c r="I787" s="261"/>
      <c r="J787" s="261"/>
      <c r="K787" s="261"/>
    </row>
    <row r="788" spans="1:11" ht="18.75" customHeight="1">
      <c r="A788" s="262" t="s">
        <v>686</v>
      </c>
      <c r="B788" s="259" t="s">
        <v>1341</v>
      </c>
      <c r="C788" s="259"/>
      <c r="D788" s="259"/>
      <c r="E788" s="259"/>
      <c r="F788" s="259"/>
      <c r="G788" s="259"/>
      <c r="H788" s="263" t="s">
        <v>1342</v>
      </c>
      <c r="I788" s="263"/>
      <c r="J788" s="263"/>
      <c r="K788" s="263"/>
    </row>
    <row r="789" spans="1:11" ht="27.75" customHeight="1">
      <c r="A789" s="264" t="s">
        <v>688</v>
      </c>
      <c r="B789" s="265" t="s">
        <v>1343</v>
      </c>
      <c r="C789" s="265"/>
      <c r="D789" s="265"/>
      <c r="E789" s="265"/>
      <c r="F789" s="265"/>
      <c r="G789" s="265"/>
      <c r="H789" s="265"/>
      <c r="I789" s="265"/>
      <c r="J789" s="265"/>
      <c r="K789" s="265"/>
    </row>
    <row r="790" spans="1:12" ht="18.75" customHeight="1">
      <c r="A790" s="266" t="s">
        <v>28</v>
      </c>
      <c r="B790" s="266" t="s">
        <v>690</v>
      </c>
      <c r="C790" s="266" t="s">
        <v>650</v>
      </c>
      <c r="D790" s="266"/>
      <c r="E790" s="266"/>
      <c r="F790" s="266"/>
      <c r="G790" s="266" t="s">
        <v>651</v>
      </c>
      <c r="H790" s="266"/>
      <c r="I790" s="266" t="s">
        <v>691</v>
      </c>
      <c r="J790" s="266" t="s">
        <v>692</v>
      </c>
      <c r="K790" s="266" t="s">
        <v>693</v>
      </c>
    </row>
    <row r="791" spans="1:12" ht="18.75" customHeight="1">
      <c r="A791" s="266" t="s">
        <v>31</v>
      </c>
      <c r="B791" s="267" t="s">
        <v>694</v>
      </c>
      <c r="C791" s="267"/>
      <c r="D791" s="267"/>
      <c r="E791" s="267"/>
      <c r="F791" s="267"/>
      <c r="G791" s="266" t="s">
        <v>695</v>
      </c>
      <c r="H791" s="266"/>
      <c r="I791" s="268"/>
      <c r="J791" s="268"/>
      <c r="K791" s="380">
        <f>K792+K794+K799+K809+K810</f>
        <v>0</v>
      </c>
    </row>
    <row r="792" spans="1:12" ht="18.75" customHeight="1">
      <c r="A792" s="266" t="s">
        <v>76</v>
      </c>
      <c r="B792" s="267" t="s">
        <v>353</v>
      </c>
      <c r="C792" s="267"/>
      <c r="D792" s="267"/>
      <c r="E792" s="267"/>
      <c r="F792" s="267"/>
      <c r="G792" s="266" t="s">
        <v>695</v>
      </c>
      <c r="H792" s="266"/>
      <c r="I792" s="268"/>
      <c r="J792" s="268"/>
      <c r="K792" s="380">
        <f>SUM(K793:K793)</f>
        <v>0</v>
      </c>
    </row>
    <row r="793" spans="1:12" ht="18.75" customHeight="1">
      <c r="A793" s="266"/>
      <c r="B793" s="267" t="s">
        <v>698</v>
      </c>
      <c r="C793" s="267"/>
      <c r="D793" s="267"/>
      <c r="E793" s="267"/>
      <c r="F793" s="267"/>
      <c r="G793" s="266" t="s">
        <v>699</v>
      </c>
      <c r="H793" s="266"/>
      <c r="I793" s="268">
        <f>ROUND(97.9,3)</f>
        <v>0</v>
      </c>
      <c r="J793" s="380">
        <v>3.46</v>
      </c>
      <c r="K793" s="380">
        <f>ROUND(I793*J793,2)</f>
        <v>0</v>
      </c>
    </row>
    <row r="794" spans="1:12" ht="18.75" customHeight="1">
      <c r="A794" s="266" t="s">
        <v>152</v>
      </c>
      <c r="B794" s="267" t="s">
        <v>354</v>
      </c>
      <c r="C794" s="267"/>
      <c r="D794" s="267"/>
      <c r="E794" s="267"/>
      <c r="F794" s="267"/>
      <c r="G794" s="266" t="s">
        <v>695</v>
      </c>
      <c r="H794" s="266"/>
      <c r="I794" s="268"/>
      <c r="J794" s="268"/>
      <c r="K794" s="380">
        <f>SUM(K795:K798)</f>
        <v>0</v>
      </c>
    </row>
    <row r="795" spans="1:12" ht="18.75" customHeight="1">
      <c r="A795" s="266"/>
      <c r="B795" s="267" t="s">
        <v>653</v>
      </c>
      <c r="C795" s="267"/>
      <c r="D795" s="267"/>
      <c r="E795" s="267"/>
      <c r="F795" s="267"/>
      <c r="G795" s="266" t="s">
        <v>149</v>
      </c>
      <c r="H795" s="266"/>
      <c r="I795" s="268">
        <f>ROUND(1.07,3)</f>
        <v>0</v>
      </c>
      <c r="J795" s="380">
        <v>3000</v>
      </c>
      <c r="K795" s="380">
        <f>ROUND(I795*J795,2)</f>
        <v>0</v>
      </c>
    </row>
    <row r="796" spans="1:12" ht="18.75" customHeight="1">
      <c r="A796" s="266"/>
      <c r="B796" s="267" t="s">
        <v>1348</v>
      </c>
      <c r="C796" s="267"/>
      <c r="D796" s="267"/>
      <c r="E796" s="267"/>
      <c r="F796" s="267"/>
      <c r="G796" s="266" t="s">
        <v>656</v>
      </c>
      <c r="H796" s="266"/>
      <c r="I796" s="268">
        <f>ROUND(4,3)</f>
        <v>0</v>
      </c>
      <c r="J796" s="380">
        <v>6.46</v>
      </c>
      <c r="K796" s="380">
        <f>ROUND(I796*J796,2)</f>
        <v>0</v>
      </c>
    </row>
    <row r="797" spans="1:12" ht="18.75" customHeight="1">
      <c r="A797" s="266"/>
      <c r="B797" s="267" t="s">
        <v>1268</v>
      </c>
      <c r="C797" s="267"/>
      <c r="D797" s="267"/>
      <c r="E797" s="267"/>
      <c r="F797" s="267"/>
      <c r="G797" s="266" t="s">
        <v>656</v>
      </c>
      <c r="H797" s="266"/>
      <c r="I797" s="268">
        <f>ROUND(7.22,3)</f>
        <v>0</v>
      </c>
      <c r="J797" s="380">
        <v>5.4</v>
      </c>
      <c r="K797" s="380">
        <f>ROUND(I797*J797,2)</f>
        <v>0</v>
      </c>
    </row>
    <row r="798" spans="1:12" ht="18.75" customHeight="1">
      <c r="A798" s="266"/>
      <c r="B798" s="267" t="s">
        <v>828</v>
      </c>
      <c r="C798" s="267"/>
      <c r="D798" s="267"/>
      <c r="E798" s="267"/>
      <c r="F798" s="267"/>
      <c r="G798" s="266" t="s">
        <v>334</v>
      </c>
      <c r="H798" s="266"/>
      <c r="I798" s="268">
        <f>ROUND(1,3)</f>
        <v>0</v>
      </c>
      <c r="J798" s="380">
        <f>K795+K796+K797</f>
        <v>0</v>
      </c>
      <c r="K798" s="380">
        <f>ROUND(I798*J798/100,2)</f>
        <v>0</v>
      </c>
    </row>
    <row r="799" spans="1:12" ht="18.75" customHeight="1">
      <c r="A799" s="266" t="s">
        <v>704</v>
      </c>
      <c r="B799" s="267" t="s">
        <v>705</v>
      </c>
      <c r="C799" s="267"/>
      <c r="D799" s="267"/>
      <c r="E799" s="267"/>
      <c r="F799" s="267"/>
      <c r="G799" s="266" t="s">
        <v>695</v>
      </c>
      <c r="H799" s="266"/>
      <c r="I799" s="268"/>
      <c r="J799" s="268"/>
      <c r="K799" s="380">
        <f>SUM(K800:K808)</f>
        <v>0</v>
      </c>
    </row>
    <row r="800" spans="1:12" ht="18.75" customHeight="1">
      <c r="A800" s="266"/>
      <c r="B800" s="267" t="s">
        <v>1046</v>
      </c>
      <c r="C800" s="267" t="s">
        <v>1047</v>
      </c>
      <c r="D800" s="267"/>
      <c r="E800" s="267"/>
      <c r="F800" s="267"/>
      <c r="G800" s="266" t="s">
        <v>709</v>
      </c>
      <c r="H800" s="266"/>
      <c r="I800" s="268">
        <f>ROUND(1.5,3)</f>
        <v>0</v>
      </c>
      <c r="J800" s="380">
        <v>33.03</v>
      </c>
      <c r="K800" s="380">
        <f>ROUND(I800*J800,2)</f>
        <v>0</v>
      </c>
    </row>
    <row r="801" spans="1:12" ht="18.75" customHeight="1">
      <c r="A801" s="266"/>
      <c r="B801" s="267" t="s">
        <v>1288</v>
      </c>
      <c r="C801" s="267" t="s">
        <v>1289</v>
      </c>
      <c r="D801" s="267"/>
      <c r="E801" s="267"/>
      <c r="F801" s="267"/>
      <c r="G801" s="266" t="s">
        <v>709</v>
      </c>
      <c r="H801" s="266"/>
      <c r="I801" s="268">
        <f>ROUND(0.45,3)</f>
        <v>0</v>
      </c>
      <c r="J801" s="380">
        <v>42.94</v>
      </c>
      <c r="K801" s="380">
        <f>ROUND(I801*J801,2)</f>
        <v>0</v>
      </c>
    </row>
    <row r="802" spans="1:12" ht="18.75" customHeight="1">
      <c r="A802" s="266"/>
      <c r="B802" s="267" t="s">
        <v>1357</v>
      </c>
      <c r="C802" s="267" t="s">
        <v>1358</v>
      </c>
      <c r="D802" s="267"/>
      <c r="E802" s="267"/>
      <c r="F802" s="267"/>
      <c r="G802" s="266" t="s">
        <v>709</v>
      </c>
      <c r="H802" s="266"/>
      <c r="I802" s="268">
        <f>ROUND(0.1,3)</f>
        <v>0</v>
      </c>
      <c r="J802" s="380">
        <v>58.79</v>
      </c>
      <c r="K802" s="380">
        <f>ROUND(I802*J802,2)</f>
        <v>0</v>
      </c>
    </row>
    <row r="803" spans="1:12" ht="18.75" customHeight="1">
      <c r="A803" s="266"/>
      <c r="B803" s="267" t="s">
        <v>1292</v>
      </c>
      <c r="C803" s="267" t="s">
        <v>1362</v>
      </c>
      <c r="D803" s="267"/>
      <c r="E803" s="267"/>
      <c r="F803" s="267"/>
      <c r="G803" s="266" t="s">
        <v>709</v>
      </c>
      <c r="H803" s="266"/>
      <c r="I803" s="268">
        <f>ROUND(10,3)</f>
        <v>0</v>
      </c>
      <c r="J803" s="380">
        <v>12.84</v>
      </c>
      <c r="K803" s="380">
        <f>ROUND(I803*J803,2)</f>
        <v>0</v>
      </c>
    </row>
    <row r="804" spans="1:12" ht="18.75" customHeight="1">
      <c r="A804" s="266"/>
      <c r="B804" s="267" t="s">
        <v>1365</v>
      </c>
      <c r="C804" s="267" t="s">
        <v>1366</v>
      </c>
      <c r="D804" s="267"/>
      <c r="E804" s="267"/>
      <c r="F804" s="267"/>
      <c r="G804" s="266" t="s">
        <v>709</v>
      </c>
      <c r="H804" s="266"/>
      <c r="I804" s="268">
        <f>ROUND(0.4,3)</f>
        <v>0</v>
      </c>
      <c r="J804" s="380">
        <v>79.21</v>
      </c>
      <c r="K804" s="380">
        <f>ROUND(I804*J804,2)</f>
        <v>0</v>
      </c>
    </row>
    <row r="805" spans="1:12" ht="18.75" customHeight="1">
      <c r="A805" s="266"/>
      <c r="B805" s="267" t="s">
        <v>1370</v>
      </c>
      <c r="C805" s="267" t="s">
        <v>1371</v>
      </c>
      <c r="D805" s="267"/>
      <c r="E805" s="267"/>
      <c r="F805" s="267"/>
      <c r="G805" s="266" t="s">
        <v>709</v>
      </c>
      <c r="H805" s="266"/>
      <c r="I805" s="268">
        <f>ROUND(1.05,3)</f>
        <v>0</v>
      </c>
      <c r="J805" s="380">
        <v>11.58</v>
      </c>
      <c r="K805" s="380">
        <f>ROUND(I805*J805,2)</f>
        <v>0</v>
      </c>
    </row>
    <row r="806" spans="1:12" ht="18.75" customHeight="1">
      <c r="A806" s="266"/>
      <c r="B806" s="267" t="s">
        <v>1374</v>
      </c>
      <c r="C806" s="267" t="s">
        <v>1375</v>
      </c>
      <c r="D806" s="267"/>
      <c r="E806" s="267"/>
      <c r="F806" s="267"/>
      <c r="G806" s="266" t="s">
        <v>709</v>
      </c>
      <c r="H806" s="266"/>
      <c r="I806" s="268">
        <f>ROUND(0.4,3)</f>
        <v>0</v>
      </c>
      <c r="J806" s="380">
        <v>21.84</v>
      </c>
      <c r="K806" s="380">
        <f>ROUND(I806*J806,2)</f>
        <v>0</v>
      </c>
    </row>
    <row r="807" spans="1:12" ht="18.75" customHeight="1">
      <c r="A807" s="266"/>
      <c r="B807" s="267" t="s">
        <v>1378</v>
      </c>
      <c r="C807" s="267" t="s">
        <v>1379</v>
      </c>
      <c r="D807" s="267"/>
      <c r="E807" s="267"/>
      <c r="F807" s="267"/>
      <c r="G807" s="266" t="s">
        <v>709</v>
      </c>
      <c r="H807" s="266"/>
      <c r="I807" s="268">
        <f>ROUND(0.6,3)</f>
        <v>0</v>
      </c>
      <c r="J807" s="380">
        <v>14.88</v>
      </c>
      <c r="K807" s="380">
        <f>ROUND(I807*J807,2)</f>
        <v>0</v>
      </c>
    </row>
    <row r="808" spans="1:12" ht="18.75" customHeight="1">
      <c r="A808" s="266"/>
      <c r="B808" s="267" t="s">
        <v>883</v>
      </c>
      <c r="C808" s="267"/>
      <c r="D808" s="267"/>
      <c r="E808" s="267"/>
      <c r="F808" s="267"/>
      <c r="G808" s="266" t="s">
        <v>334</v>
      </c>
      <c r="H808" s="266"/>
      <c r="I808" s="268">
        <f>ROUND(2,3)</f>
        <v>0</v>
      </c>
      <c r="J808" s="380">
        <f>K800+K801+K802+K803+K804+K805+K806+K807</f>
        <v>0</v>
      </c>
      <c r="K808" s="380">
        <f>ROUND(I808*J808/100,2)</f>
        <v>0</v>
      </c>
    </row>
    <row r="809" spans="1:12" ht="18.75" customHeight="1">
      <c r="A809" s="266" t="s">
        <v>721</v>
      </c>
      <c r="B809" s="267" t="s">
        <v>722</v>
      </c>
      <c r="C809" s="267"/>
      <c r="D809" s="267"/>
      <c r="E809" s="267"/>
      <c r="F809" s="267"/>
      <c r="G809" s="266" t="s">
        <v>695</v>
      </c>
      <c r="H809" s="266"/>
      <c r="I809" s="268">
        <f>3.5&amp;"%"</f>
        <v>0</v>
      </c>
      <c r="J809" s="380">
        <f>K792+K794+K799</f>
        <v>0</v>
      </c>
      <c r="K809" s="380">
        <f>ROUND(I809*J809,2)</f>
        <v>0</v>
      </c>
    </row>
    <row r="810" spans="1:12" ht="18.75" customHeight="1">
      <c r="A810" s="266" t="s">
        <v>348</v>
      </c>
      <c r="B810" s="267" t="s">
        <v>726</v>
      </c>
      <c r="C810" s="267"/>
      <c r="D810" s="267"/>
      <c r="E810" s="267"/>
      <c r="F810" s="267"/>
      <c r="G810" s="266" t="s">
        <v>695</v>
      </c>
      <c r="H810" s="266"/>
      <c r="I810" s="268">
        <f>3&amp;"%"</f>
        <v>0</v>
      </c>
      <c r="J810" s="380">
        <f>K792+K794+K799</f>
        <v>0</v>
      </c>
      <c r="K810" s="380">
        <f>ROUND(I810*J810,2)</f>
        <v>0</v>
      </c>
    </row>
    <row r="811" spans="1:12" ht="18.75" customHeight="1">
      <c r="A811" s="266" t="s">
        <v>34</v>
      </c>
      <c r="B811" s="267" t="s">
        <v>729</v>
      </c>
      <c r="C811" s="267"/>
      <c r="D811" s="267"/>
      <c r="E811" s="267"/>
      <c r="F811" s="267"/>
      <c r="G811" s="266" t="s">
        <v>695</v>
      </c>
      <c r="H811" s="266"/>
      <c r="I811" s="268">
        <f>3.5&amp;"%"</f>
        <v>0</v>
      </c>
      <c r="J811" s="380">
        <f>K791</f>
        <v>0</v>
      </c>
      <c r="K811" s="380">
        <f>ROUND(I811*J811,2)</f>
        <v>0</v>
      </c>
    </row>
    <row r="812" spans="1:12" ht="18.75" customHeight="1">
      <c r="A812" s="266" t="s">
        <v>37</v>
      </c>
      <c r="B812" s="267" t="s">
        <v>732</v>
      </c>
      <c r="C812" s="267"/>
      <c r="D812" s="267"/>
      <c r="E812" s="267"/>
      <c r="F812" s="267"/>
      <c r="G812" s="266" t="s">
        <v>695</v>
      </c>
      <c r="H812" s="266"/>
      <c r="I812" s="268">
        <f>32.8&amp;"%"</f>
        <v>0</v>
      </c>
      <c r="J812" s="380">
        <f>K792+ROUND(I801*1.3*3.46,2)+ROUND(I802*2.4*3.46,2)+ROUND(I804*1.3*3.46,2)+ROUND(I805*1.3*3.46,2)+ROUND(I806*1.3*3.46,2)+ROUND(I807*1.3*3.46,2)</f>
        <v>0</v>
      </c>
      <c r="K812" s="380">
        <f>ROUND(I812*J812,2)</f>
        <v>0</v>
      </c>
    </row>
    <row r="813" spans="1:12" ht="18.75" customHeight="1">
      <c r="A813" s="266" t="s">
        <v>40</v>
      </c>
      <c r="B813" s="267" t="s">
        <v>736</v>
      </c>
      <c r="C813" s="267"/>
      <c r="D813" s="267"/>
      <c r="E813" s="267"/>
      <c r="F813" s="267"/>
      <c r="G813" s="266" t="s">
        <v>695</v>
      </c>
      <c r="H813" s="266"/>
      <c r="I813" s="268">
        <f>7&amp;"%"</f>
        <v>0</v>
      </c>
      <c r="J813" s="380">
        <f>K791+K811+K812</f>
        <v>0</v>
      </c>
      <c r="K813" s="380">
        <f>ROUND(I813*J813,2)</f>
        <v>0</v>
      </c>
    </row>
    <row r="814" spans="1:12" ht="18.75" customHeight="1">
      <c r="A814" s="266" t="s">
        <v>43</v>
      </c>
      <c r="B814" s="267" t="s">
        <v>361</v>
      </c>
      <c r="C814" s="267"/>
      <c r="D814" s="267"/>
      <c r="E814" s="267"/>
      <c r="F814" s="267"/>
      <c r="G814" s="266" t="s">
        <v>695</v>
      </c>
      <c r="H814" s="266"/>
      <c r="I814" s="268"/>
      <c r="J814" s="268"/>
      <c r="K814" s="380">
        <f>SUM(K815:K818)</f>
        <v>0</v>
      </c>
    </row>
    <row r="815" spans="1:12" ht="18.75" customHeight="1">
      <c r="A815" s="266"/>
      <c r="B815" s="267" t="s">
        <v>698</v>
      </c>
      <c r="C815" s="267"/>
      <c r="D815" s="267"/>
      <c r="E815" s="267"/>
      <c r="F815" s="267"/>
      <c r="G815" s="266" t="s">
        <v>699</v>
      </c>
      <c r="H815" s="266"/>
      <c r="I815" s="268">
        <f>ROUND(I793,3)</f>
        <v>0</v>
      </c>
      <c r="J815" s="380">
        <v>4</v>
      </c>
      <c r="K815" s="380">
        <f>ROUND(I815*J815,2)</f>
        <v>0</v>
      </c>
    </row>
    <row r="816" spans="1:12" ht="18.75" customHeight="1">
      <c r="A816" s="266"/>
      <c r="B816" s="267" t="s">
        <v>741</v>
      </c>
      <c r="C816" s="267"/>
      <c r="D816" s="267"/>
      <c r="E816" s="267"/>
      <c r="F816" s="267"/>
      <c r="G816" s="266" t="s">
        <v>699</v>
      </c>
      <c r="H816" s="266"/>
      <c r="I816" s="268">
        <f>ROUND(I801*1.3+I802*2.4+I804*1.3+I805*1.3+I806*1.3+I807*1.3,3)</f>
        <v>0</v>
      </c>
      <c r="J816" s="380">
        <v>4</v>
      </c>
      <c r="K816" s="380">
        <f>ROUND(I816*J816,2)</f>
        <v>0</v>
      </c>
    </row>
    <row r="817" spans="1:12" ht="18.75" customHeight="1">
      <c r="A817" s="266"/>
      <c r="B817" s="267" t="s">
        <v>653</v>
      </c>
      <c r="C817" s="267"/>
      <c r="D817" s="267"/>
      <c r="E817" s="267"/>
      <c r="F817" s="267"/>
      <c r="G817" s="266" t="s">
        <v>149</v>
      </c>
      <c r="H817" s="266"/>
      <c r="I817" s="268">
        <f>ROUND(I795,3)</f>
        <v>0</v>
      </c>
      <c r="J817" s="380">
        <v>913.52</v>
      </c>
      <c r="K817" s="380">
        <f>ROUND(I817*J817,2)</f>
        <v>0</v>
      </c>
    </row>
    <row r="818" spans="1:12" ht="18.75" customHeight="1">
      <c r="A818" s="266"/>
      <c r="B818" s="267" t="s">
        <v>666</v>
      </c>
      <c r="C818" s="267" t="s">
        <v>667</v>
      </c>
      <c r="D818" s="267"/>
      <c r="E818" s="267"/>
      <c r="F818" s="267"/>
      <c r="G818" s="266" t="s">
        <v>656</v>
      </c>
      <c r="H818" s="266"/>
      <c r="I818" s="268">
        <f>ROUND(I801*7.2,3)</f>
        <v>0</v>
      </c>
      <c r="J818" s="380">
        <v>3.71</v>
      </c>
      <c r="K818" s="380">
        <f>ROUND(I818*J818,2)</f>
        <v>0</v>
      </c>
    </row>
    <row r="819" spans="1:12" ht="18.75" customHeight="1">
      <c r="A819" s="266" t="s">
        <v>46</v>
      </c>
      <c r="B819" s="267" t="s">
        <v>362</v>
      </c>
      <c r="C819" s="267"/>
      <c r="D819" s="267"/>
      <c r="E819" s="267"/>
      <c r="F819" s="267"/>
      <c r="G819" s="266" t="s">
        <v>695</v>
      </c>
      <c r="H819" s="266"/>
      <c r="I819" s="268">
        <f>0&amp;"%"</f>
        <v>0</v>
      </c>
      <c r="J819" s="380">
        <f>K791+K811+K812+K813+K814</f>
        <v>0</v>
      </c>
      <c r="K819" s="380">
        <f>ROUND(I819*J819,2)</f>
        <v>0</v>
      </c>
    </row>
    <row r="820" spans="1:12" ht="18.75" customHeight="1">
      <c r="A820" s="266" t="s">
        <v>49</v>
      </c>
      <c r="B820" s="267" t="s">
        <v>363</v>
      </c>
      <c r="C820" s="267"/>
      <c r="D820" s="267"/>
      <c r="E820" s="267"/>
      <c r="F820" s="267"/>
      <c r="G820" s="266" t="s">
        <v>695</v>
      </c>
      <c r="H820" s="266"/>
      <c r="I820" s="268">
        <f>9&amp;"%"</f>
        <v>0</v>
      </c>
      <c r="J820" s="380">
        <f>K791+K811+K812+K813+K814+K819</f>
        <v>0</v>
      </c>
      <c r="K820" s="380">
        <f>ROUND(I820*J820,2)</f>
        <v>0</v>
      </c>
    </row>
    <row r="821" spans="1:12" ht="18.75" customHeight="1">
      <c r="A821" s="266"/>
      <c r="B821" s="267" t="s">
        <v>64</v>
      </c>
      <c r="C821" s="267"/>
      <c r="D821" s="267"/>
      <c r="E821" s="267"/>
      <c r="F821" s="267"/>
      <c r="G821" s="266" t="s">
        <v>695</v>
      </c>
      <c r="H821" s="266"/>
      <c r="I821" s="268"/>
      <c r="J821" s="268"/>
      <c r="K821" s="380">
        <f>K791+K811+K812+K813+K814+K819+K820</f>
        <v>0</v>
      </c>
    </row>
    <row r="822" spans="1:11" ht="7.5" customHeight="1">
      <c r="A822" s="259"/>
      <c r="B822" s="259"/>
      <c r="C822" s="259"/>
      <c r="D822" s="259"/>
      <c r="E822" s="259"/>
      <c r="F822" s="259"/>
      <c r="G822" s="259"/>
      <c r="H822" s="259"/>
      <c r="I822" s="259"/>
      <c r="J822" s="259"/>
      <c r="K822" s="259"/>
    </row>
    <row r="823" spans="1:11" ht="26.25" customHeight="1">
      <c r="A823" s="260" t="s">
        <v>684</v>
      </c>
      <c r="B823" s="260"/>
      <c r="C823" s="260"/>
      <c r="D823" s="260"/>
      <c r="E823" s="260"/>
      <c r="F823" s="260"/>
      <c r="G823" s="260"/>
      <c r="H823" s="260"/>
      <c r="I823" s="260"/>
      <c r="J823" s="260"/>
      <c r="K823" s="260"/>
    </row>
    <row r="824" spans="1:11" ht="18.75" customHeight="1">
      <c r="A824" s="261" t="s">
        <v>1340</v>
      </c>
      <c r="B824" s="261"/>
      <c r="C824" s="261"/>
      <c r="D824" s="261"/>
      <c r="E824" s="261"/>
      <c r="F824" s="261"/>
      <c r="G824" s="261"/>
      <c r="H824" s="261"/>
      <c r="I824" s="261"/>
      <c r="J824" s="261"/>
      <c r="K824" s="261"/>
    </row>
    <row r="825" spans="1:11" ht="18.75" customHeight="1">
      <c r="A825" s="262" t="s">
        <v>686</v>
      </c>
      <c r="B825" s="259" t="s">
        <v>1341</v>
      </c>
      <c r="C825" s="259"/>
      <c r="D825" s="259"/>
      <c r="E825" s="259"/>
      <c r="F825" s="259"/>
      <c r="G825" s="259"/>
      <c r="H825" s="263" t="s">
        <v>1342</v>
      </c>
      <c r="I825" s="263"/>
      <c r="J825" s="263"/>
      <c r="K825" s="263"/>
    </row>
    <row r="826" spans="1:11" ht="27.75" customHeight="1">
      <c r="A826" s="264" t="s">
        <v>688</v>
      </c>
      <c r="B826" s="265" t="s">
        <v>1343</v>
      </c>
      <c r="C826" s="265"/>
      <c r="D826" s="265"/>
      <c r="E826" s="265"/>
      <c r="F826" s="265"/>
      <c r="G826" s="265"/>
      <c r="H826" s="265"/>
      <c r="I826" s="265"/>
      <c r="J826" s="265"/>
      <c r="K826" s="265"/>
    </row>
    <row r="827" spans="1:12" ht="18.75" customHeight="1">
      <c r="A827" s="266" t="s">
        <v>28</v>
      </c>
      <c r="B827" s="266" t="s">
        <v>690</v>
      </c>
      <c r="C827" s="266" t="s">
        <v>650</v>
      </c>
      <c r="D827" s="266"/>
      <c r="E827" s="266"/>
      <c r="F827" s="266"/>
      <c r="G827" s="266" t="s">
        <v>651</v>
      </c>
      <c r="H827" s="266"/>
      <c r="I827" s="266" t="s">
        <v>691</v>
      </c>
      <c r="J827" s="266" t="s">
        <v>692</v>
      </c>
      <c r="K827" s="266" t="s">
        <v>693</v>
      </c>
    </row>
    <row r="828" spans="1:12" ht="18.75" customHeight="1">
      <c r="A828" s="266"/>
      <c r="B828" s="267" t="s">
        <v>752</v>
      </c>
      <c r="C828" s="267"/>
      <c r="D828" s="267"/>
      <c r="E828" s="267"/>
      <c r="F828" s="267"/>
      <c r="G828" s="266" t="s">
        <v>695</v>
      </c>
      <c r="H828" s="266"/>
      <c r="I828" s="268"/>
      <c r="J828" s="268"/>
      <c r="K828" s="380">
        <f>K821</f>
        <v>0</v>
      </c>
    </row>
    <row r="829" spans="1:11" ht="18.75" customHeight="1">
      <c r="A829" s="266"/>
      <c r="B829" s="267"/>
      <c r="C829" s="267"/>
      <c r="D829" s="267"/>
      <c r="E829" s="267"/>
      <c r="F829" s="267"/>
      <c r="G829" s="266"/>
      <c r="H829" s="266"/>
      <c r="I829" s="268"/>
      <c r="J829" s="268"/>
      <c r="K829" s="268"/>
    </row>
    <row r="830" spans="1:11" ht="18.75" customHeight="1">
      <c r="A830" s="266"/>
      <c r="B830" s="267"/>
      <c r="C830" s="267"/>
      <c r="D830" s="267"/>
      <c r="E830" s="267"/>
      <c r="F830" s="267"/>
      <c r="G830" s="266"/>
      <c r="H830" s="266"/>
      <c r="I830" s="268"/>
      <c r="J830" s="268"/>
      <c r="K830" s="268"/>
    </row>
    <row r="831" spans="1:11" ht="18.75" customHeight="1">
      <c r="A831" s="266"/>
      <c r="B831" s="267"/>
      <c r="C831" s="267"/>
      <c r="D831" s="267"/>
      <c r="E831" s="267"/>
      <c r="F831" s="267"/>
      <c r="G831" s="266"/>
      <c r="H831" s="266"/>
      <c r="I831" s="268"/>
      <c r="J831" s="268"/>
      <c r="K831" s="268"/>
    </row>
    <row r="832" spans="1:11" ht="18.75" customHeight="1">
      <c r="A832" s="266"/>
      <c r="B832" s="267"/>
      <c r="C832" s="267"/>
      <c r="D832" s="267"/>
      <c r="E832" s="267"/>
      <c r="F832" s="267"/>
      <c r="G832" s="266"/>
      <c r="H832" s="266"/>
      <c r="I832" s="268"/>
      <c r="J832" s="268"/>
      <c r="K832" s="268"/>
    </row>
    <row r="833" spans="1:11" ht="18.75" customHeight="1">
      <c r="A833" s="266"/>
      <c r="B833" s="267"/>
      <c r="C833" s="267"/>
      <c r="D833" s="267"/>
      <c r="E833" s="267"/>
      <c r="F833" s="267"/>
      <c r="G833" s="266"/>
      <c r="H833" s="266"/>
      <c r="I833" s="268"/>
      <c r="J833" s="268"/>
      <c r="K833" s="268"/>
    </row>
    <row r="834" spans="1:11" ht="18.75" customHeight="1">
      <c r="A834" s="266"/>
      <c r="B834" s="267"/>
      <c r="C834" s="267"/>
      <c r="D834" s="267"/>
      <c r="E834" s="267"/>
      <c r="F834" s="267"/>
      <c r="G834" s="266"/>
      <c r="H834" s="266"/>
      <c r="I834" s="268"/>
      <c r="J834" s="268"/>
      <c r="K834" s="268"/>
    </row>
    <row r="835" spans="1:11" ht="18.75" customHeight="1">
      <c r="A835" s="266"/>
      <c r="B835" s="267"/>
      <c r="C835" s="267"/>
      <c r="D835" s="267"/>
      <c r="E835" s="267"/>
      <c r="F835" s="267"/>
      <c r="G835" s="266"/>
      <c r="H835" s="266"/>
      <c r="I835" s="268"/>
      <c r="J835" s="268"/>
      <c r="K835" s="268"/>
    </row>
    <row r="836" spans="1:11" ht="18.75" customHeight="1">
      <c r="A836" s="266"/>
      <c r="B836" s="267"/>
      <c r="C836" s="267"/>
      <c r="D836" s="267"/>
      <c r="E836" s="267"/>
      <c r="F836" s="267"/>
      <c r="G836" s="266"/>
      <c r="H836" s="266"/>
      <c r="I836" s="268"/>
      <c r="J836" s="268"/>
      <c r="K836" s="268"/>
    </row>
    <row r="837" spans="1:11" ht="18.75" customHeight="1">
      <c r="A837" s="266"/>
      <c r="B837" s="267"/>
      <c r="C837" s="267"/>
      <c r="D837" s="267"/>
      <c r="E837" s="267"/>
      <c r="F837" s="267"/>
      <c r="G837" s="266"/>
      <c r="H837" s="266"/>
      <c r="I837" s="268"/>
      <c r="J837" s="268"/>
      <c r="K837" s="268"/>
    </row>
    <row r="838" spans="1:11" ht="18.75" customHeight="1">
      <c r="A838" s="266"/>
      <c r="B838" s="267"/>
      <c r="C838" s="267"/>
      <c r="D838" s="267"/>
      <c r="E838" s="267"/>
      <c r="F838" s="267"/>
      <c r="G838" s="266"/>
      <c r="H838" s="266"/>
      <c r="I838" s="268"/>
      <c r="J838" s="268"/>
      <c r="K838" s="268"/>
    </row>
    <row r="839" spans="1:11" ht="18.75" customHeight="1">
      <c r="A839" s="266"/>
      <c r="B839" s="267"/>
      <c r="C839" s="267"/>
      <c r="D839" s="267"/>
      <c r="E839" s="267"/>
      <c r="F839" s="267"/>
      <c r="G839" s="266"/>
      <c r="H839" s="266"/>
      <c r="I839" s="268"/>
      <c r="J839" s="268"/>
      <c r="K839" s="268"/>
    </row>
    <row r="840" spans="1:11" ht="18.75" customHeight="1">
      <c r="A840" s="266"/>
      <c r="B840" s="267"/>
      <c r="C840" s="267"/>
      <c r="D840" s="267"/>
      <c r="E840" s="267"/>
      <c r="F840" s="267"/>
      <c r="G840" s="266"/>
      <c r="H840" s="266"/>
      <c r="I840" s="268"/>
      <c r="J840" s="268"/>
      <c r="K840" s="268"/>
    </row>
    <row r="841" spans="1:11" ht="18.75" customHeight="1">
      <c r="A841" s="266"/>
      <c r="B841" s="267"/>
      <c r="C841" s="267"/>
      <c r="D841" s="267"/>
      <c r="E841" s="267"/>
      <c r="F841" s="267"/>
      <c r="G841" s="266"/>
      <c r="H841" s="266"/>
      <c r="I841" s="268"/>
      <c r="J841" s="268"/>
      <c r="K841" s="268"/>
    </row>
    <row r="842" spans="1:11" ht="18.75" customHeight="1">
      <c r="A842" s="266"/>
      <c r="B842" s="267"/>
      <c r="C842" s="267"/>
      <c r="D842" s="267"/>
      <c r="E842" s="267"/>
      <c r="F842" s="267"/>
      <c r="G842" s="266"/>
      <c r="H842" s="266"/>
      <c r="I842" s="268"/>
      <c r="J842" s="268"/>
      <c r="K842" s="268"/>
    </row>
    <row r="843" spans="1:11" ht="18.75" customHeight="1">
      <c r="A843" s="266"/>
      <c r="B843" s="267"/>
      <c r="C843" s="267"/>
      <c r="D843" s="267"/>
      <c r="E843" s="267"/>
      <c r="F843" s="267"/>
      <c r="G843" s="266"/>
      <c r="H843" s="266"/>
      <c r="I843" s="268"/>
      <c r="J843" s="268"/>
      <c r="K843" s="268"/>
    </row>
    <row r="844" spans="1:11" ht="18.75" customHeight="1">
      <c r="A844" s="266"/>
      <c r="B844" s="267"/>
      <c r="C844" s="267"/>
      <c r="D844" s="267"/>
      <c r="E844" s="267"/>
      <c r="F844" s="267"/>
      <c r="G844" s="266"/>
      <c r="H844" s="266"/>
      <c r="I844" s="268"/>
      <c r="J844" s="268"/>
      <c r="K844" s="268"/>
    </row>
    <row r="845" spans="1:11" ht="18.75" customHeight="1">
      <c r="A845" s="266"/>
      <c r="B845" s="267"/>
      <c r="C845" s="267"/>
      <c r="D845" s="267"/>
      <c r="E845" s="267"/>
      <c r="F845" s="267"/>
      <c r="G845" s="266"/>
      <c r="H845" s="266"/>
      <c r="I845" s="268"/>
      <c r="J845" s="268"/>
      <c r="K845" s="268"/>
    </row>
    <row r="846" spans="1:11" ht="18.75" customHeight="1">
      <c r="A846" s="266"/>
      <c r="B846" s="267"/>
      <c r="C846" s="267"/>
      <c r="D846" s="267"/>
      <c r="E846" s="267"/>
      <c r="F846" s="267"/>
      <c r="G846" s="266"/>
      <c r="H846" s="266"/>
      <c r="I846" s="268"/>
      <c r="J846" s="268"/>
      <c r="K846" s="268"/>
    </row>
    <row r="847" spans="1:11" ht="18.75" customHeight="1">
      <c r="A847" s="266"/>
      <c r="B847" s="267"/>
      <c r="C847" s="267"/>
      <c r="D847" s="267"/>
      <c r="E847" s="267"/>
      <c r="F847" s="267"/>
      <c r="G847" s="266"/>
      <c r="H847" s="266"/>
      <c r="I847" s="268"/>
      <c r="J847" s="268"/>
      <c r="K847" s="268"/>
    </row>
    <row r="848" spans="1:11" ht="18.75" customHeight="1">
      <c r="A848" s="266"/>
      <c r="B848" s="267"/>
      <c r="C848" s="267"/>
      <c r="D848" s="267"/>
      <c r="E848" s="267"/>
      <c r="F848" s="267"/>
      <c r="G848" s="266"/>
      <c r="H848" s="266"/>
      <c r="I848" s="268"/>
      <c r="J848" s="268"/>
      <c r="K848" s="268"/>
    </row>
    <row r="849" spans="1:11" ht="18.75" customHeight="1">
      <c r="A849" s="266"/>
      <c r="B849" s="267"/>
      <c r="C849" s="267"/>
      <c r="D849" s="267"/>
      <c r="E849" s="267"/>
      <c r="F849" s="267"/>
      <c r="G849" s="266"/>
      <c r="H849" s="266"/>
      <c r="I849" s="268"/>
      <c r="J849" s="268"/>
      <c r="K849" s="268"/>
    </row>
    <row r="850" spans="1:11" ht="18.75" customHeight="1">
      <c r="A850" s="266"/>
      <c r="B850" s="267"/>
      <c r="C850" s="267"/>
      <c r="D850" s="267"/>
      <c r="E850" s="267"/>
      <c r="F850" s="267"/>
      <c r="G850" s="266"/>
      <c r="H850" s="266"/>
      <c r="I850" s="268"/>
      <c r="J850" s="268"/>
      <c r="K850" s="268"/>
    </row>
    <row r="851" spans="1:11" ht="18.75" customHeight="1">
      <c r="A851" s="266"/>
      <c r="B851" s="267"/>
      <c r="C851" s="267"/>
      <c r="D851" s="267"/>
      <c r="E851" s="267"/>
      <c r="F851" s="267"/>
      <c r="G851" s="266"/>
      <c r="H851" s="266"/>
      <c r="I851" s="268"/>
      <c r="J851" s="268"/>
      <c r="K851" s="268"/>
    </row>
    <row r="852" spans="1:11" ht="18.75" customHeight="1">
      <c r="A852" s="266"/>
      <c r="B852" s="267"/>
      <c r="C852" s="267"/>
      <c r="D852" s="267"/>
      <c r="E852" s="267"/>
      <c r="F852" s="267"/>
      <c r="G852" s="266"/>
      <c r="H852" s="266"/>
      <c r="I852" s="268"/>
      <c r="J852" s="268"/>
      <c r="K852" s="268"/>
    </row>
    <row r="853" spans="1:11" ht="18.75" customHeight="1">
      <c r="A853" s="266"/>
      <c r="B853" s="267"/>
      <c r="C853" s="267"/>
      <c r="D853" s="267"/>
      <c r="E853" s="267"/>
      <c r="F853" s="267"/>
      <c r="G853" s="266"/>
      <c r="H853" s="266"/>
      <c r="I853" s="268"/>
      <c r="J853" s="268"/>
      <c r="K853" s="268"/>
    </row>
    <row r="854" spans="1:11" ht="18.75" customHeight="1">
      <c r="A854" s="266"/>
      <c r="B854" s="267"/>
      <c r="C854" s="267"/>
      <c r="D854" s="267"/>
      <c r="E854" s="267"/>
      <c r="F854" s="267"/>
      <c r="G854" s="266"/>
      <c r="H854" s="266"/>
      <c r="I854" s="268"/>
      <c r="J854" s="268"/>
      <c r="K854" s="268"/>
    </row>
    <row r="855" spans="1:11" ht="18.75" customHeight="1">
      <c r="A855" s="266"/>
      <c r="B855" s="267"/>
      <c r="C855" s="267"/>
      <c r="D855" s="267"/>
      <c r="E855" s="267"/>
      <c r="F855" s="267"/>
      <c r="G855" s="266"/>
      <c r="H855" s="266"/>
      <c r="I855" s="268"/>
      <c r="J855" s="268"/>
      <c r="K855" s="268"/>
    </row>
    <row r="856" spans="1:11" ht="18.75" customHeight="1">
      <c r="A856" s="266"/>
      <c r="B856" s="267"/>
      <c r="C856" s="267"/>
      <c r="D856" s="267"/>
      <c r="E856" s="267"/>
      <c r="F856" s="267"/>
      <c r="G856" s="266"/>
      <c r="H856" s="266"/>
      <c r="I856" s="268"/>
      <c r="J856" s="268"/>
      <c r="K856" s="268"/>
    </row>
    <row r="857" spans="1:11" ht="18.75" customHeight="1">
      <c r="A857" s="266"/>
      <c r="B857" s="267"/>
      <c r="C857" s="267"/>
      <c r="D857" s="267"/>
      <c r="E857" s="267"/>
      <c r="F857" s="267"/>
      <c r="G857" s="266"/>
      <c r="H857" s="266"/>
      <c r="I857" s="268"/>
      <c r="J857" s="268"/>
      <c r="K857" s="268"/>
    </row>
    <row r="858" spans="1:11" ht="18.75" customHeight="1">
      <c r="A858" s="266"/>
      <c r="B858" s="267"/>
      <c r="C858" s="267"/>
      <c r="D858" s="267"/>
      <c r="E858" s="267"/>
      <c r="F858" s="267"/>
      <c r="G858" s="266"/>
      <c r="H858" s="266"/>
      <c r="I858" s="268"/>
      <c r="J858" s="268"/>
      <c r="K858" s="268"/>
    </row>
    <row r="859" spans="1:11" ht="7.5" customHeight="1">
      <c r="A859" s="259"/>
      <c r="B859" s="259"/>
      <c r="C859" s="259"/>
      <c r="D859" s="259"/>
      <c r="E859" s="259"/>
      <c r="F859" s="259"/>
      <c r="G859" s="259"/>
      <c r="H859" s="259"/>
      <c r="I859" s="259"/>
      <c r="J859" s="259"/>
      <c r="K859" s="259"/>
    </row>
    <row r="860" spans="1:11" ht="26.25" customHeight="1">
      <c r="A860" s="260" t="s">
        <v>684</v>
      </c>
      <c r="B860" s="260"/>
      <c r="C860" s="260"/>
      <c r="D860" s="260"/>
      <c r="E860" s="260"/>
      <c r="F860" s="260"/>
      <c r="G860" s="260"/>
      <c r="H860" s="260"/>
      <c r="I860" s="260"/>
      <c r="J860" s="260"/>
      <c r="K860" s="260"/>
    </row>
    <row r="861" spans="1:11" ht="18.75" customHeight="1">
      <c r="A861" s="261" t="s">
        <v>1395</v>
      </c>
      <c r="B861" s="261"/>
      <c r="C861" s="261"/>
      <c r="D861" s="261"/>
      <c r="E861" s="261"/>
      <c r="F861" s="261"/>
      <c r="G861" s="261"/>
      <c r="H861" s="261"/>
      <c r="I861" s="261"/>
      <c r="J861" s="261"/>
      <c r="K861" s="261"/>
    </row>
    <row r="862" spans="1:11" ht="18.75" customHeight="1">
      <c r="A862" s="262" t="s">
        <v>686</v>
      </c>
      <c r="B862" s="259" t="s">
        <v>1226</v>
      </c>
      <c r="C862" s="259"/>
      <c r="D862" s="259"/>
      <c r="E862" s="259"/>
      <c r="F862" s="259"/>
      <c r="G862" s="259"/>
      <c r="H862" s="263" t="s">
        <v>754</v>
      </c>
      <c r="I862" s="263"/>
      <c r="J862" s="263"/>
      <c r="K862" s="263"/>
    </row>
    <row r="863" spans="1:11" ht="27.75" customHeight="1">
      <c r="A863" s="264" t="s">
        <v>688</v>
      </c>
      <c r="B863" s="265" t="s">
        <v>1396</v>
      </c>
      <c r="C863" s="265"/>
      <c r="D863" s="265"/>
      <c r="E863" s="265"/>
      <c r="F863" s="265"/>
      <c r="G863" s="265"/>
      <c r="H863" s="265"/>
      <c r="I863" s="265"/>
      <c r="J863" s="265"/>
      <c r="K863" s="265"/>
    </row>
    <row r="864" spans="1:12" ht="18.75" customHeight="1">
      <c r="A864" s="266" t="s">
        <v>28</v>
      </c>
      <c r="B864" s="266" t="s">
        <v>690</v>
      </c>
      <c r="C864" s="266" t="s">
        <v>650</v>
      </c>
      <c r="D864" s="266"/>
      <c r="E864" s="266"/>
      <c r="F864" s="266"/>
      <c r="G864" s="266" t="s">
        <v>651</v>
      </c>
      <c r="H864" s="266"/>
      <c r="I864" s="266" t="s">
        <v>691</v>
      </c>
      <c r="J864" s="266" t="s">
        <v>692</v>
      </c>
      <c r="K864" s="266" t="s">
        <v>693</v>
      </c>
    </row>
    <row r="865" spans="1:12" ht="18.75" customHeight="1">
      <c r="A865" s="266" t="s">
        <v>31</v>
      </c>
      <c r="B865" s="267" t="s">
        <v>694</v>
      </c>
      <c r="C865" s="267"/>
      <c r="D865" s="267"/>
      <c r="E865" s="267"/>
      <c r="F865" s="267"/>
      <c r="G865" s="266" t="s">
        <v>695</v>
      </c>
      <c r="H865" s="266"/>
      <c r="I865" s="268"/>
      <c r="J865" s="268"/>
      <c r="K865" s="380">
        <f>K866+K869+K880+K888+K889</f>
        <v>0</v>
      </c>
    </row>
    <row r="866" spans="1:12" ht="18.75" customHeight="1">
      <c r="A866" s="266" t="s">
        <v>76</v>
      </c>
      <c r="B866" s="267" t="s">
        <v>353</v>
      </c>
      <c r="C866" s="267"/>
      <c r="D866" s="267"/>
      <c r="E866" s="267"/>
      <c r="F866" s="267"/>
      <c r="G866" s="266" t="s">
        <v>695</v>
      </c>
      <c r="H866" s="266"/>
      <c r="I866" s="268"/>
      <c r="J866" s="268"/>
      <c r="K866" s="380">
        <f>SUM(K867:K868)</f>
        <v>0</v>
      </c>
    </row>
    <row r="867" spans="1:12" ht="18.75" customHeight="1">
      <c r="A867" s="266"/>
      <c r="B867" s="267" t="s">
        <v>698</v>
      </c>
      <c r="C867" s="267"/>
      <c r="D867" s="267"/>
      <c r="E867" s="267"/>
      <c r="F867" s="267"/>
      <c r="G867" s="266" t="s">
        <v>699</v>
      </c>
      <c r="H867" s="266"/>
      <c r="I867" s="268">
        <f>ROUND(12,3)</f>
        <v>0</v>
      </c>
      <c r="J867" s="380">
        <v>3.46</v>
      </c>
      <c r="K867" s="380">
        <f>ROUND(I867*J867,2)</f>
        <v>0</v>
      </c>
    </row>
    <row r="868" spans="1:12" ht="18.75" customHeight="1">
      <c r="A868" s="266"/>
      <c r="B868" s="267" t="s">
        <v>698</v>
      </c>
      <c r="C868" s="267"/>
      <c r="D868" s="267"/>
      <c r="E868" s="267"/>
      <c r="F868" s="267"/>
      <c r="G868" s="266" t="s">
        <v>699</v>
      </c>
      <c r="H868" s="266"/>
      <c r="I868" s="268">
        <f>ROUND(202,3)</f>
        <v>0</v>
      </c>
      <c r="J868" s="380">
        <v>3.46</v>
      </c>
      <c r="K868" s="380">
        <f>ROUND(I868*J868,2)</f>
        <v>0</v>
      </c>
    </row>
    <row r="869" spans="1:12" ht="18.75" customHeight="1">
      <c r="A869" s="266" t="s">
        <v>152</v>
      </c>
      <c r="B869" s="267" t="s">
        <v>354</v>
      </c>
      <c r="C869" s="267"/>
      <c r="D869" s="267"/>
      <c r="E869" s="267"/>
      <c r="F869" s="267"/>
      <c r="G869" s="266" t="s">
        <v>695</v>
      </c>
      <c r="H869" s="266"/>
      <c r="I869" s="268"/>
      <c r="J869" s="268"/>
      <c r="K869" s="380">
        <f>SUM(K870:K879)</f>
        <v>0</v>
      </c>
    </row>
    <row r="870" spans="1:12" ht="18.75" customHeight="1">
      <c r="A870" s="266"/>
      <c r="B870" s="267" t="s">
        <v>1257</v>
      </c>
      <c r="C870" s="267"/>
      <c r="D870" s="267"/>
      <c r="E870" s="267"/>
      <c r="F870" s="267"/>
      <c r="G870" s="266" t="s">
        <v>656</v>
      </c>
      <c r="H870" s="266"/>
      <c r="I870" s="268">
        <f>ROUND(79.57,3)</f>
        <v>0</v>
      </c>
      <c r="J870" s="380">
        <v>3</v>
      </c>
      <c r="K870" s="380">
        <f>ROUND(I870*J870,2)</f>
        <v>0</v>
      </c>
    </row>
    <row r="871" spans="1:12" ht="18.75" customHeight="1">
      <c r="A871" s="266"/>
      <c r="B871" s="267" t="s">
        <v>655</v>
      </c>
      <c r="C871" s="267"/>
      <c r="D871" s="267"/>
      <c r="E871" s="267"/>
      <c r="F871" s="267"/>
      <c r="G871" s="266" t="s">
        <v>656</v>
      </c>
      <c r="H871" s="266"/>
      <c r="I871" s="268">
        <f>ROUND(42.97,3)</f>
        <v>0</v>
      </c>
      <c r="J871" s="380">
        <v>3</v>
      </c>
      <c r="K871" s="380">
        <f>ROUND(I871*J871,2)</f>
        <v>0</v>
      </c>
    </row>
    <row r="872" spans="1:12" ht="18.75" customHeight="1">
      <c r="A872" s="266"/>
      <c r="B872" s="267" t="s">
        <v>671</v>
      </c>
      <c r="C872" s="267"/>
      <c r="D872" s="267"/>
      <c r="E872" s="267"/>
      <c r="F872" s="267"/>
      <c r="G872" s="266" t="s">
        <v>656</v>
      </c>
      <c r="H872" s="266"/>
      <c r="I872" s="268">
        <f>ROUND(1.5,3)</f>
        <v>0</v>
      </c>
      <c r="J872" s="380">
        <v>6.28</v>
      </c>
      <c r="K872" s="380">
        <f>ROUND(I872*J872,2)</f>
        <v>0</v>
      </c>
    </row>
    <row r="873" spans="1:12" ht="18.75" customHeight="1">
      <c r="A873" s="266"/>
      <c r="B873" s="267" t="s">
        <v>1268</v>
      </c>
      <c r="C873" s="267"/>
      <c r="D873" s="267"/>
      <c r="E873" s="267"/>
      <c r="F873" s="267"/>
      <c r="G873" s="266" t="s">
        <v>656</v>
      </c>
      <c r="H873" s="266"/>
      <c r="I873" s="268">
        <f>ROUND(0.5,3)</f>
        <v>0</v>
      </c>
      <c r="J873" s="380">
        <v>5.4</v>
      </c>
      <c r="K873" s="380">
        <f>ROUND(I873*J873,2)</f>
        <v>0</v>
      </c>
    </row>
    <row r="874" spans="1:12" ht="18.75" customHeight="1">
      <c r="A874" s="266"/>
      <c r="B874" s="267" t="s">
        <v>1406</v>
      </c>
      <c r="C874" s="267"/>
      <c r="D874" s="267"/>
      <c r="E874" s="267"/>
      <c r="F874" s="267"/>
      <c r="G874" s="266" t="s">
        <v>656</v>
      </c>
      <c r="H874" s="266"/>
      <c r="I874" s="268">
        <f>ROUND(25.33,3)</f>
        <v>0</v>
      </c>
      <c r="J874" s="380">
        <v>6.9</v>
      </c>
      <c r="K874" s="380">
        <f>ROUND(I874*J874,2)</f>
        <v>0</v>
      </c>
    </row>
    <row r="875" spans="1:12" ht="18.75" customHeight="1">
      <c r="A875" s="266"/>
      <c r="B875" s="267" t="s">
        <v>828</v>
      </c>
      <c r="C875" s="267"/>
      <c r="D875" s="267"/>
      <c r="E875" s="267"/>
      <c r="F875" s="267"/>
      <c r="G875" s="266" t="s">
        <v>334</v>
      </c>
      <c r="H875" s="266"/>
      <c r="I875" s="268">
        <f>ROUND(2,3)</f>
        <v>0</v>
      </c>
      <c r="J875" s="380">
        <f>K870+K871+K872+K873+K874</f>
        <v>0</v>
      </c>
      <c r="K875" s="380">
        <f>ROUND(I875*J875/100,2)</f>
        <v>0</v>
      </c>
    </row>
    <row r="876" spans="1:12" ht="18.75" customHeight="1">
      <c r="A876" s="266"/>
      <c r="B876" s="267" t="s">
        <v>673</v>
      </c>
      <c r="C876" s="267"/>
      <c r="D876" s="267"/>
      <c r="E876" s="267"/>
      <c r="F876" s="267"/>
      <c r="G876" s="266" t="s">
        <v>656</v>
      </c>
      <c r="H876" s="266"/>
      <c r="I876" s="268">
        <f>ROUND(121.68,3)</f>
        <v>0</v>
      </c>
      <c r="J876" s="380">
        <v>6.11</v>
      </c>
      <c r="K876" s="380">
        <f>ROUND(I876*J876,2)</f>
        <v>0</v>
      </c>
    </row>
    <row r="877" spans="1:12" ht="18.75" customHeight="1">
      <c r="A877" s="266"/>
      <c r="B877" s="267" t="s">
        <v>1414</v>
      </c>
      <c r="C877" s="267"/>
      <c r="D877" s="267"/>
      <c r="E877" s="267"/>
      <c r="F877" s="267"/>
      <c r="G877" s="266" t="s">
        <v>81</v>
      </c>
      <c r="H877" s="266"/>
      <c r="I877" s="268">
        <f>ROUND(0.28,3)</f>
        <v>0</v>
      </c>
      <c r="J877" s="380">
        <v>350</v>
      </c>
      <c r="K877" s="380">
        <f>ROUND(I877*J877,2)</f>
        <v>0</v>
      </c>
    </row>
    <row r="878" spans="1:12" ht="18.75" customHeight="1">
      <c r="A878" s="266"/>
      <c r="B878" s="267" t="s">
        <v>1268</v>
      </c>
      <c r="C878" s="267"/>
      <c r="D878" s="267"/>
      <c r="E878" s="267"/>
      <c r="F878" s="267"/>
      <c r="G878" s="266" t="s">
        <v>656</v>
      </c>
      <c r="H878" s="266"/>
      <c r="I878" s="268">
        <f>ROUND(1.98,3)</f>
        <v>0</v>
      </c>
      <c r="J878" s="380">
        <v>5.4</v>
      </c>
      <c r="K878" s="380">
        <f>ROUND(I878*J878,2)</f>
        <v>0</v>
      </c>
    </row>
    <row r="879" spans="1:12" ht="18.75" customHeight="1">
      <c r="A879" s="266"/>
      <c r="B879" s="267" t="s">
        <v>828</v>
      </c>
      <c r="C879" s="267"/>
      <c r="D879" s="267"/>
      <c r="E879" s="267"/>
      <c r="F879" s="267"/>
      <c r="G879" s="266" t="s">
        <v>334</v>
      </c>
      <c r="H879" s="266"/>
      <c r="I879" s="268">
        <f>ROUND(2,3)</f>
        <v>0</v>
      </c>
      <c r="J879" s="380">
        <f>K876+K877+K878</f>
        <v>0</v>
      </c>
      <c r="K879" s="380">
        <f>ROUND(I879*J879/100,2)</f>
        <v>0</v>
      </c>
    </row>
    <row r="880" spans="1:12" ht="18.75" customHeight="1">
      <c r="A880" s="266" t="s">
        <v>704</v>
      </c>
      <c r="B880" s="267" t="s">
        <v>705</v>
      </c>
      <c r="C880" s="267"/>
      <c r="D880" s="267"/>
      <c r="E880" s="267"/>
      <c r="F880" s="267"/>
      <c r="G880" s="266" t="s">
        <v>695</v>
      </c>
      <c r="H880" s="266"/>
      <c r="I880" s="268"/>
      <c r="J880" s="268"/>
      <c r="K880" s="380">
        <f>SUM(K881:K887)</f>
        <v>0</v>
      </c>
    </row>
    <row r="881" spans="1:12" ht="18.75" customHeight="1">
      <c r="A881" s="266"/>
      <c r="B881" s="267" t="s">
        <v>1288</v>
      </c>
      <c r="C881" s="267" t="s">
        <v>1289</v>
      </c>
      <c r="D881" s="267"/>
      <c r="E881" s="267"/>
      <c r="F881" s="267"/>
      <c r="G881" s="266" t="s">
        <v>709</v>
      </c>
      <c r="H881" s="266"/>
      <c r="I881" s="268">
        <f>ROUND(0.36,3)</f>
        <v>0</v>
      </c>
      <c r="J881" s="380">
        <v>42.94</v>
      </c>
      <c r="K881" s="380">
        <f>ROUND(I881*J881,2)</f>
        <v>0</v>
      </c>
    </row>
    <row r="882" spans="1:12" ht="18.75" customHeight="1">
      <c r="A882" s="266"/>
      <c r="B882" s="267" t="s">
        <v>1292</v>
      </c>
      <c r="C882" s="267" t="s">
        <v>1362</v>
      </c>
      <c r="D882" s="267"/>
      <c r="E882" s="267"/>
      <c r="F882" s="267"/>
      <c r="G882" s="266" t="s">
        <v>709</v>
      </c>
      <c r="H882" s="266"/>
      <c r="I882" s="268">
        <f>ROUND(0.7,3)</f>
        <v>0</v>
      </c>
      <c r="J882" s="380">
        <v>12.84</v>
      </c>
      <c r="K882" s="380">
        <f>ROUND(I882*J882,2)</f>
        <v>0</v>
      </c>
    </row>
    <row r="883" spans="1:12" ht="18.75" customHeight="1">
      <c r="A883" s="266"/>
      <c r="B883" s="267" t="s">
        <v>1374</v>
      </c>
      <c r="C883" s="267" t="s">
        <v>1375</v>
      </c>
      <c r="D883" s="267"/>
      <c r="E883" s="267"/>
      <c r="F883" s="267"/>
      <c r="G883" s="266" t="s">
        <v>709</v>
      </c>
      <c r="H883" s="266"/>
      <c r="I883" s="268">
        <f>ROUND(0.06,3)</f>
        <v>0</v>
      </c>
      <c r="J883" s="380">
        <v>21.84</v>
      </c>
      <c r="K883" s="380">
        <f>ROUND(I883*J883,2)</f>
        <v>0</v>
      </c>
    </row>
    <row r="884" spans="1:12" ht="18.75" customHeight="1">
      <c r="A884" s="266"/>
      <c r="B884" s="267" t="s">
        <v>883</v>
      </c>
      <c r="C884" s="267"/>
      <c r="D884" s="267"/>
      <c r="E884" s="267"/>
      <c r="F884" s="267"/>
      <c r="G884" s="266" t="s">
        <v>334</v>
      </c>
      <c r="H884" s="266"/>
      <c r="I884" s="268">
        <f>ROUND(5,3)</f>
        <v>0</v>
      </c>
      <c r="J884" s="380">
        <f>K881+K882+K883</f>
        <v>0</v>
      </c>
      <c r="K884" s="380">
        <f>ROUND(I884*J884/100,2)</f>
        <v>0</v>
      </c>
    </row>
    <row r="885" spans="1:12" ht="18.75" customHeight="1">
      <c r="A885" s="266"/>
      <c r="B885" s="267" t="s">
        <v>1303</v>
      </c>
      <c r="C885" s="267" t="s">
        <v>1304</v>
      </c>
      <c r="D885" s="267"/>
      <c r="E885" s="267"/>
      <c r="F885" s="267"/>
      <c r="G885" s="266" t="s">
        <v>709</v>
      </c>
      <c r="H885" s="266"/>
      <c r="I885" s="268">
        <f>ROUND(8.5,3)</f>
        <v>0</v>
      </c>
      <c r="J885" s="380">
        <v>49.56</v>
      </c>
      <c r="K885" s="380">
        <f>ROUND(I885*J885,2)</f>
        <v>0</v>
      </c>
    </row>
    <row r="886" spans="1:12" ht="18.75" customHeight="1">
      <c r="A886" s="266"/>
      <c r="B886" s="267" t="s">
        <v>1292</v>
      </c>
      <c r="C886" s="267" t="s">
        <v>1362</v>
      </c>
      <c r="D886" s="267"/>
      <c r="E886" s="267"/>
      <c r="F886" s="267"/>
      <c r="G886" s="266" t="s">
        <v>709</v>
      </c>
      <c r="H886" s="266"/>
      <c r="I886" s="268">
        <f>ROUND(2,3)</f>
        <v>0</v>
      </c>
      <c r="J886" s="380">
        <v>12.84</v>
      </c>
      <c r="K886" s="380">
        <f>ROUND(I886*J886,2)</f>
        <v>0</v>
      </c>
    </row>
    <row r="887" spans="1:12" ht="18.75" customHeight="1">
      <c r="A887" s="266"/>
      <c r="B887" s="267" t="s">
        <v>883</v>
      </c>
      <c r="C887" s="267"/>
      <c r="D887" s="267"/>
      <c r="E887" s="267"/>
      <c r="F887" s="267"/>
      <c r="G887" s="266" t="s">
        <v>334</v>
      </c>
      <c r="H887" s="266"/>
      <c r="I887" s="268">
        <f>ROUND(5,3)</f>
        <v>0</v>
      </c>
      <c r="J887" s="380">
        <f>K885+K886</f>
        <v>0</v>
      </c>
      <c r="K887" s="380">
        <f>ROUND(I887*J887/100,2)</f>
        <v>0</v>
      </c>
    </row>
    <row r="888" spans="1:12" ht="18.75" customHeight="1">
      <c r="A888" s="266" t="s">
        <v>721</v>
      </c>
      <c r="B888" s="267" t="s">
        <v>722</v>
      </c>
      <c r="C888" s="267"/>
      <c r="D888" s="267"/>
      <c r="E888" s="267"/>
      <c r="F888" s="267"/>
      <c r="G888" s="266" t="s">
        <v>695</v>
      </c>
      <c r="H888" s="266"/>
      <c r="I888" s="268">
        <f>3.5&amp;"%"</f>
        <v>0</v>
      </c>
      <c r="J888" s="380">
        <f>K866+K869+K880</f>
        <v>0</v>
      </c>
      <c r="K888" s="380">
        <f>ROUND(I888*J888,2)</f>
        <v>0</v>
      </c>
    </row>
    <row r="889" spans="1:12" ht="18.75" customHeight="1">
      <c r="A889" s="266" t="s">
        <v>348</v>
      </c>
      <c r="B889" s="267" t="s">
        <v>726</v>
      </c>
      <c r="C889" s="267"/>
      <c r="D889" s="267"/>
      <c r="E889" s="267"/>
      <c r="F889" s="267"/>
      <c r="G889" s="266" t="s">
        <v>695</v>
      </c>
      <c r="H889" s="266"/>
      <c r="I889" s="268">
        <f>6&amp;"%"</f>
        <v>0</v>
      </c>
      <c r="J889" s="380">
        <f>K866+K869+K880</f>
        <v>0</v>
      </c>
      <c r="K889" s="380">
        <f>ROUND(I889*J889,2)</f>
        <v>0</v>
      </c>
    </row>
    <row r="890" spans="1:12" ht="18.75" customHeight="1">
      <c r="A890" s="266" t="s">
        <v>34</v>
      </c>
      <c r="B890" s="267" t="s">
        <v>729</v>
      </c>
      <c r="C890" s="267"/>
      <c r="D890" s="267"/>
      <c r="E890" s="267"/>
      <c r="F890" s="267"/>
      <c r="G890" s="266" t="s">
        <v>695</v>
      </c>
      <c r="H890" s="266"/>
      <c r="I890" s="268">
        <f>5.7&amp;"%"</f>
        <v>0</v>
      </c>
      <c r="J890" s="380">
        <f>K865</f>
        <v>0</v>
      </c>
      <c r="K890" s="380">
        <f>ROUND(I890*J890,2)</f>
        <v>0</v>
      </c>
    </row>
    <row r="891" spans="1:12" ht="18.75" customHeight="1">
      <c r="A891" s="266" t="s">
        <v>37</v>
      </c>
      <c r="B891" s="267" t="s">
        <v>732</v>
      </c>
      <c r="C891" s="267"/>
      <c r="D891" s="267"/>
      <c r="E891" s="267"/>
      <c r="F891" s="267"/>
      <c r="G891" s="266" t="s">
        <v>695</v>
      </c>
      <c r="H891" s="266"/>
      <c r="I891" s="268">
        <f>32.8&amp;"%"</f>
        <v>0</v>
      </c>
      <c r="J891" s="380">
        <f>K866+ROUND(I881*1.3*3.46,2)+ROUND(I883*1.3*3.46,2)+ROUND(I885*2.7*3.46,2)</f>
        <v>0</v>
      </c>
      <c r="K891" s="380">
        <f>ROUND(I891*J891,2)</f>
        <v>0</v>
      </c>
    </row>
    <row r="892" spans="1:12" ht="18.75" customHeight="1">
      <c r="A892" s="266" t="s">
        <v>40</v>
      </c>
      <c r="B892" s="267" t="s">
        <v>736</v>
      </c>
      <c r="C892" s="267"/>
      <c r="D892" s="267"/>
      <c r="E892" s="267"/>
      <c r="F892" s="267"/>
      <c r="G892" s="266" t="s">
        <v>695</v>
      </c>
      <c r="H892" s="266"/>
      <c r="I892" s="268">
        <f>7&amp;"%"</f>
        <v>0</v>
      </c>
      <c r="J892" s="380">
        <f>K865+K890+K891</f>
        <v>0</v>
      </c>
      <c r="K892" s="380">
        <f>ROUND(I892*J892,2)</f>
        <v>0</v>
      </c>
    </row>
    <row r="893" spans="1:12" ht="18.75" customHeight="1">
      <c r="A893" s="266" t="s">
        <v>43</v>
      </c>
      <c r="B893" s="267" t="s">
        <v>361</v>
      </c>
      <c r="C893" s="267"/>
      <c r="D893" s="267"/>
      <c r="E893" s="267"/>
      <c r="F893" s="267"/>
      <c r="G893" s="266" t="s">
        <v>695</v>
      </c>
      <c r="H893" s="266"/>
      <c r="I893" s="268"/>
      <c r="J893" s="268"/>
      <c r="K893" s="380">
        <f>SUM(K894:K904)</f>
        <v>0</v>
      </c>
    </row>
    <row r="894" spans="1:12" ht="18.75" customHeight="1">
      <c r="A894" s="266"/>
      <c r="B894" s="267" t="s">
        <v>698</v>
      </c>
      <c r="C894" s="267"/>
      <c r="D894" s="267"/>
      <c r="E894" s="267"/>
      <c r="F894" s="267"/>
      <c r="G894" s="266" t="s">
        <v>699</v>
      </c>
      <c r="H894" s="266"/>
      <c r="I894" s="268">
        <f>ROUND(I867+I868,3)</f>
        <v>0</v>
      </c>
      <c r="J894" s="380">
        <v>4</v>
      </c>
      <c r="K894" s="380">
        <f>ROUND(I894*J894,2)</f>
        <v>0</v>
      </c>
    </row>
    <row r="895" spans="1:12" ht="18.75" customHeight="1">
      <c r="A895" s="266"/>
      <c r="B895" s="267" t="s">
        <v>741</v>
      </c>
      <c r="C895" s="267"/>
      <c r="D895" s="267"/>
      <c r="E895" s="267"/>
      <c r="F895" s="267"/>
      <c r="G895" s="266" t="s">
        <v>699</v>
      </c>
      <c r="H895" s="266"/>
      <c r="I895" s="268">
        <f>ROUND(I881*1.3+I883*1.3+I885*2.7,3)</f>
        <v>0</v>
      </c>
      <c r="J895" s="380">
        <v>4</v>
      </c>
      <c r="K895" s="380">
        <f>ROUND(I895*J895,2)</f>
        <v>0</v>
      </c>
    </row>
    <row r="896" spans="1:11" ht="7.5" customHeight="1">
      <c r="A896" s="259"/>
      <c r="B896" s="259"/>
      <c r="C896" s="259"/>
      <c r="D896" s="259"/>
      <c r="E896" s="259"/>
      <c r="F896" s="259"/>
      <c r="G896" s="259"/>
      <c r="H896" s="259"/>
      <c r="I896" s="259"/>
      <c r="J896" s="259"/>
      <c r="K896" s="259"/>
    </row>
    <row r="897" spans="1:11" ht="26.25" customHeight="1">
      <c r="A897" s="260" t="s">
        <v>684</v>
      </c>
      <c r="B897" s="260"/>
      <c r="C897" s="260"/>
      <c r="D897" s="260"/>
      <c r="E897" s="260"/>
      <c r="F897" s="260"/>
      <c r="G897" s="260"/>
      <c r="H897" s="260"/>
      <c r="I897" s="260"/>
      <c r="J897" s="260"/>
      <c r="K897" s="260"/>
    </row>
    <row r="898" spans="1:11" ht="18.75" customHeight="1">
      <c r="A898" s="261" t="s">
        <v>1395</v>
      </c>
      <c r="B898" s="261"/>
      <c r="C898" s="261"/>
      <c r="D898" s="261"/>
      <c r="E898" s="261"/>
      <c r="F898" s="261"/>
      <c r="G898" s="261"/>
      <c r="H898" s="261"/>
      <c r="I898" s="261"/>
      <c r="J898" s="261"/>
      <c r="K898" s="261"/>
    </row>
    <row r="899" spans="1:11" ht="18.75" customHeight="1">
      <c r="A899" s="262" t="s">
        <v>686</v>
      </c>
      <c r="B899" s="259" t="s">
        <v>1226</v>
      </c>
      <c r="C899" s="259"/>
      <c r="D899" s="259"/>
      <c r="E899" s="259"/>
      <c r="F899" s="259"/>
      <c r="G899" s="259"/>
      <c r="H899" s="263" t="s">
        <v>754</v>
      </c>
      <c r="I899" s="263"/>
      <c r="J899" s="263"/>
      <c r="K899" s="263"/>
    </row>
    <row r="900" spans="1:11" ht="27.75" customHeight="1">
      <c r="A900" s="264" t="s">
        <v>688</v>
      </c>
      <c r="B900" s="265" t="s">
        <v>1396</v>
      </c>
      <c r="C900" s="265"/>
      <c r="D900" s="265"/>
      <c r="E900" s="265"/>
      <c r="F900" s="265"/>
      <c r="G900" s="265"/>
      <c r="H900" s="265"/>
      <c r="I900" s="265"/>
      <c r="J900" s="265"/>
      <c r="K900" s="265"/>
    </row>
    <row r="901" spans="1:12" ht="18.75" customHeight="1">
      <c r="A901" s="266" t="s">
        <v>28</v>
      </c>
      <c r="B901" s="266" t="s">
        <v>690</v>
      </c>
      <c r="C901" s="266" t="s">
        <v>650</v>
      </c>
      <c r="D901" s="266"/>
      <c r="E901" s="266"/>
      <c r="F901" s="266"/>
      <c r="G901" s="266" t="s">
        <v>651</v>
      </c>
      <c r="H901" s="266"/>
      <c r="I901" s="266" t="s">
        <v>691</v>
      </c>
      <c r="J901" s="266" t="s">
        <v>692</v>
      </c>
      <c r="K901" s="266" t="s">
        <v>693</v>
      </c>
    </row>
    <row r="902" spans="1:12" ht="18.75" customHeight="1">
      <c r="A902" s="266"/>
      <c r="B902" s="267" t="s">
        <v>1257</v>
      </c>
      <c r="C902" s="267"/>
      <c r="D902" s="267"/>
      <c r="E902" s="267"/>
      <c r="F902" s="267"/>
      <c r="G902" s="266" t="s">
        <v>656</v>
      </c>
      <c r="H902" s="266"/>
      <c r="I902" s="268">
        <f>ROUND(I870,3)</f>
        <v>0</v>
      </c>
      <c r="J902" s="380">
        <v>3.02</v>
      </c>
      <c r="K902" s="380">
        <f>ROUND(I902*J902,2)</f>
        <v>0</v>
      </c>
    </row>
    <row r="903" spans="1:12" ht="18.75" customHeight="1">
      <c r="A903" s="266"/>
      <c r="B903" s="267" t="s">
        <v>655</v>
      </c>
      <c r="C903" s="267"/>
      <c r="D903" s="267"/>
      <c r="E903" s="267"/>
      <c r="F903" s="267"/>
      <c r="G903" s="266" t="s">
        <v>656</v>
      </c>
      <c r="H903" s="266"/>
      <c r="I903" s="268">
        <f>ROUND(I871,3)</f>
        <v>0</v>
      </c>
      <c r="J903" s="380">
        <v>1.57</v>
      </c>
      <c r="K903" s="380">
        <f>ROUND(I903*J903,2)</f>
        <v>0</v>
      </c>
    </row>
    <row r="904" spans="1:12" ht="18.75" customHeight="1">
      <c r="A904" s="266"/>
      <c r="B904" s="267" t="s">
        <v>666</v>
      </c>
      <c r="C904" s="267" t="s">
        <v>667</v>
      </c>
      <c r="D904" s="267"/>
      <c r="E904" s="267"/>
      <c r="F904" s="267"/>
      <c r="G904" s="266" t="s">
        <v>656</v>
      </c>
      <c r="H904" s="266"/>
      <c r="I904" s="268">
        <f>ROUND(I881*7.2+I885*5.8,3)</f>
        <v>0</v>
      </c>
      <c r="J904" s="380">
        <v>3.71</v>
      </c>
      <c r="K904" s="380">
        <f>ROUND(I904*J904,2)</f>
        <v>0</v>
      </c>
    </row>
    <row r="905" spans="1:12" ht="18.75" customHeight="1">
      <c r="A905" s="266" t="s">
        <v>46</v>
      </c>
      <c r="B905" s="267" t="s">
        <v>362</v>
      </c>
      <c r="C905" s="267"/>
      <c r="D905" s="267"/>
      <c r="E905" s="267"/>
      <c r="F905" s="267"/>
      <c r="G905" s="266" t="s">
        <v>695</v>
      </c>
      <c r="H905" s="266"/>
      <c r="I905" s="268">
        <f>0&amp;"%"</f>
        <v>0</v>
      </c>
      <c r="J905" s="380">
        <f>K865+K890+K891+K892+K893</f>
        <v>0</v>
      </c>
      <c r="K905" s="380">
        <f>ROUND(I905*J905,2)</f>
        <v>0</v>
      </c>
    </row>
    <row r="906" spans="1:12" ht="18.75" customHeight="1">
      <c r="A906" s="266" t="s">
        <v>49</v>
      </c>
      <c r="B906" s="267" t="s">
        <v>363</v>
      </c>
      <c r="C906" s="267"/>
      <c r="D906" s="267"/>
      <c r="E906" s="267"/>
      <c r="F906" s="267"/>
      <c r="G906" s="266" t="s">
        <v>695</v>
      </c>
      <c r="H906" s="266"/>
      <c r="I906" s="268">
        <f>9&amp;"%"</f>
        <v>0</v>
      </c>
      <c r="J906" s="380">
        <f>K865+K890+K891+K892+K893+K905</f>
        <v>0</v>
      </c>
      <c r="K906" s="380">
        <f>ROUND(I906*J906,2)</f>
        <v>0</v>
      </c>
    </row>
    <row r="907" spans="1:12" ht="18.75" customHeight="1">
      <c r="A907" s="266"/>
      <c r="B907" s="267" t="s">
        <v>64</v>
      </c>
      <c r="C907" s="267"/>
      <c r="D907" s="267"/>
      <c r="E907" s="267"/>
      <c r="F907" s="267"/>
      <c r="G907" s="266" t="s">
        <v>695</v>
      </c>
      <c r="H907" s="266"/>
      <c r="I907" s="268"/>
      <c r="J907" s="268"/>
      <c r="K907" s="380">
        <f>K865+K890+K891+K892+K893+K905+K906</f>
        <v>0</v>
      </c>
    </row>
    <row r="908" spans="1:12" ht="18.75" customHeight="1">
      <c r="A908" s="266"/>
      <c r="B908" s="267" t="s">
        <v>752</v>
      </c>
      <c r="C908" s="267"/>
      <c r="D908" s="267"/>
      <c r="E908" s="267"/>
      <c r="F908" s="267"/>
      <c r="G908" s="266" t="s">
        <v>695</v>
      </c>
      <c r="H908" s="266"/>
      <c r="I908" s="268"/>
      <c r="J908" s="268"/>
      <c r="K908" s="380">
        <f>ROUND(K907/100,2)</f>
        <v>0</v>
      </c>
    </row>
    <row r="909" spans="1:11" ht="18.75" customHeight="1">
      <c r="A909" s="266"/>
      <c r="B909" s="267"/>
      <c r="C909" s="267"/>
      <c r="D909" s="267"/>
      <c r="E909" s="267"/>
      <c r="F909" s="267"/>
      <c r="G909" s="266"/>
      <c r="H909" s="266"/>
      <c r="I909" s="268"/>
      <c r="J909" s="268"/>
      <c r="K909" s="268"/>
    </row>
    <row r="910" spans="1:11" ht="18.75" customHeight="1">
      <c r="A910" s="266"/>
      <c r="B910" s="267"/>
      <c r="C910" s="267"/>
      <c r="D910" s="267"/>
      <c r="E910" s="267"/>
      <c r="F910" s="267"/>
      <c r="G910" s="266"/>
      <c r="H910" s="266"/>
      <c r="I910" s="268"/>
      <c r="J910" s="268"/>
      <c r="K910" s="268"/>
    </row>
    <row r="911" spans="1:11" ht="18.75" customHeight="1">
      <c r="A911" s="266"/>
      <c r="B911" s="267"/>
      <c r="C911" s="267"/>
      <c r="D911" s="267"/>
      <c r="E911" s="267"/>
      <c r="F911" s="267"/>
      <c r="G911" s="266"/>
      <c r="H911" s="266"/>
      <c r="I911" s="268"/>
      <c r="J911" s="268"/>
      <c r="K911" s="268"/>
    </row>
    <row r="912" spans="1:11" ht="18.75" customHeight="1">
      <c r="A912" s="266"/>
      <c r="B912" s="267"/>
      <c r="C912" s="267"/>
      <c r="D912" s="267"/>
      <c r="E912" s="267"/>
      <c r="F912" s="267"/>
      <c r="G912" s="266"/>
      <c r="H912" s="266"/>
      <c r="I912" s="268"/>
      <c r="J912" s="268"/>
      <c r="K912" s="268"/>
    </row>
    <row r="913" spans="1:11" ht="18.75" customHeight="1">
      <c r="A913" s="266"/>
      <c r="B913" s="267"/>
      <c r="C913" s="267"/>
      <c r="D913" s="267"/>
      <c r="E913" s="267"/>
      <c r="F913" s="267"/>
      <c r="G913" s="266"/>
      <c r="H913" s="266"/>
      <c r="I913" s="268"/>
      <c r="J913" s="268"/>
      <c r="K913" s="268"/>
    </row>
    <row r="914" spans="1:11" ht="18.75" customHeight="1">
      <c r="A914" s="266"/>
      <c r="B914" s="267"/>
      <c r="C914" s="267"/>
      <c r="D914" s="267"/>
      <c r="E914" s="267"/>
      <c r="F914" s="267"/>
      <c r="G914" s="266"/>
      <c r="H914" s="266"/>
      <c r="I914" s="268"/>
      <c r="J914" s="268"/>
      <c r="K914" s="268"/>
    </row>
    <row r="915" spans="1:11" ht="18.75" customHeight="1">
      <c r="A915" s="266"/>
      <c r="B915" s="267"/>
      <c r="C915" s="267"/>
      <c r="D915" s="267"/>
      <c r="E915" s="267"/>
      <c r="F915" s="267"/>
      <c r="G915" s="266"/>
      <c r="H915" s="266"/>
      <c r="I915" s="268"/>
      <c r="J915" s="268"/>
      <c r="K915" s="268"/>
    </row>
    <row r="916" spans="1:11" ht="18.75" customHeight="1">
      <c r="A916" s="266"/>
      <c r="B916" s="267"/>
      <c r="C916" s="267"/>
      <c r="D916" s="267"/>
      <c r="E916" s="267"/>
      <c r="F916" s="267"/>
      <c r="G916" s="266"/>
      <c r="H916" s="266"/>
      <c r="I916" s="268"/>
      <c r="J916" s="268"/>
      <c r="K916" s="268"/>
    </row>
    <row r="917" spans="1:11" ht="18.75" customHeight="1">
      <c r="A917" s="266"/>
      <c r="B917" s="267"/>
      <c r="C917" s="267"/>
      <c r="D917" s="267"/>
      <c r="E917" s="267"/>
      <c r="F917" s="267"/>
      <c r="G917" s="266"/>
      <c r="H917" s="266"/>
      <c r="I917" s="268"/>
      <c r="J917" s="268"/>
      <c r="K917" s="268"/>
    </row>
    <row r="918" spans="1:11" ht="18.75" customHeight="1">
      <c r="A918" s="266"/>
      <c r="B918" s="267"/>
      <c r="C918" s="267"/>
      <c r="D918" s="267"/>
      <c r="E918" s="267"/>
      <c r="F918" s="267"/>
      <c r="G918" s="266"/>
      <c r="H918" s="266"/>
      <c r="I918" s="268"/>
      <c r="J918" s="268"/>
      <c r="K918" s="268"/>
    </row>
    <row r="919" spans="1:11" ht="18.75" customHeight="1">
      <c r="A919" s="266"/>
      <c r="B919" s="267"/>
      <c r="C919" s="267"/>
      <c r="D919" s="267"/>
      <c r="E919" s="267"/>
      <c r="F919" s="267"/>
      <c r="G919" s="266"/>
      <c r="H919" s="266"/>
      <c r="I919" s="268"/>
      <c r="J919" s="268"/>
      <c r="K919" s="268"/>
    </row>
    <row r="920" spans="1:11" ht="18.75" customHeight="1">
      <c r="A920" s="266"/>
      <c r="B920" s="267"/>
      <c r="C920" s="267"/>
      <c r="D920" s="267"/>
      <c r="E920" s="267"/>
      <c r="F920" s="267"/>
      <c r="G920" s="266"/>
      <c r="H920" s="266"/>
      <c r="I920" s="268"/>
      <c r="J920" s="268"/>
      <c r="K920" s="268"/>
    </row>
    <row r="921" spans="1:11" ht="18.75" customHeight="1">
      <c r="A921" s="266"/>
      <c r="B921" s="267"/>
      <c r="C921" s="267"/>
      <c r="D921" s="267"/>
      <c r="E921" s="267"/>
      <c r="F921" s="267"/>
      <c r="G921" s="266"/>
      <c r="H921" s="266"/>
      <c r="I921" s="268"/>
      <c r="J921" s="268"/>
      <c r="K921" s="268"/>
    </row>
    <row r="922" spans="1:11" ht="18.75" customHeight="1">
      <c r="A922" s="266"/>
      <c r="B922" s="267"/>
      <c r="C922" s="267"/>
      <c r="D922" s="267"/>
      <c r="E922" s="267"/>
      <c r="F922" s="267"/>
      <c r="G922" s="266"/>
      <c r="H922" s="266"/>
      <c r="I922" s="268"/>
      <c r="J922" s="268"/>
      <c r="K922" s="268"/>
    </row>
    <row r="923" spans="1:11" ht="18.75" customHeight="1">
      <c r="A923" s="266"/>
      <c r="B923" s="267"/>
      <c r="C923" s="267"/>
      <c r="D923" s="267"/>
      <c r="E923" s="267"/>
      <c r="F923" s="267"/>
      <c r="G923" s="266"/>
      <c r="H923" s="266"/>
      <c r="I923" s="268"/>
      <c r="J923" s="268"/>
      <c r="K923" s="268"/>
    </row>
    <row r="924" spans="1:11" ht="18.75" customHeight="1">
      <c r="A924" s="266"/>
      <c r="B924" s="267"/>
      <c r="C924" s="267"/>
      <c r="D924" s="267"/>
      <c r="E924" s="267"/>
      <c r="F924" s="267"/>
      <c r="G924" s="266"/>
      <c r="H924" s="266"/>
      <c r="I924" s="268"/>
      <c r="J924" s="268"/>
      <c r="K924" s="268"/>
    </row>
    <row r="925" spans="1:11" ht="18.75" customHeight="1">
      <c r="A925" s="266"/>
      <c r="B925" s="267"/>
      <c r="C925" s="267"/>
      <c r="D925" s="267"/>
      <c r="E925" s="267"/>
      <c r="F925" s="267"/>
      <c r="G925" s="266"/>
      <c r="H925" s="266"/>
      <c r="I925" s="268"/>
      <c r="J925" s="268"/>
      <c r="K925" s="268"/>
    </row>
    <row r="926" spans="1:11" ht="18.75" customHeight="1">
      <c r="A926" s="266"/>
      <c r="B926" s="267"/>
      <c r="C926" s="267"/>
      <c r="D926" s="267"/>
      <c r="E926" s="267"/>
      <c r="F926" s="267"/>
      <c r="G926" s="266"/>
      <c r="H926" s="266"/>
      <c r="I926" s="268"/>
      <c r="J926" s="268"/>
      <c r="K926" s="268"/>
    </row>
    <row r="927" spans="1:11" ht="18.75" customHeight="1">
      <c r="A927" s="266"/>
      <c r="B927" s="267"/>
      <c r="C927" s="267"/>
      <c r="D927" s="267"/>
      <c r="E927" s="267"/>
      <c r="F927" s="267"/>
      <c r="G927" s="266"/>
      <c r="H927" s="266"/>
      <c r="I927" s="268"/>
      <c r="J927" s="268"/>
      <c r="K927" s="268"/>
    </row>
    <row r="928" spans="1:11" ht="18.75" customHeight="1">
      <c r="A928" s="266"/>
      <c r="B928" s="267"/>
      <c r="C928" s="267"/>
      <c r="D928" s="267"/>
      <c r="E928" s="267"/>
      <c r="F928" s="267"/>
      <c r="G928" s="266"/>
      <c r="H928" s="266"/>
      <c r="I928" s="268"/>
      <c r="J928" s="268"/>
      <c r="K928" s="268"/>
    </row>
    <row r="929" spans="1:11" ht="18.75" customHeight="1">
      <c r="A929" s="266"/>
      <c r="B929" s="267"/>
      <c r="C929" s="267"/>
      <c r="D929" s="267"/>
      <c r="E929" s="267"/>
      <c r="F929" s="267"/>
      <c r="G929" s="266"/>
      <c r="H929" s="266"/>
      <c r="I929" s="268"/>
      <c r="J929" s="268"/>
      <c r="K929" s="268"/>
    </row>
    <row r="930" spans="1:11" ht="18.75" customHeight="1">
      <c r="A930" s="266"/>
      <c r="B930" s="267"/>
      <c r="C930" s="267"/>
      <c r="D930" s="267"/>
      <c r="E930" s="267"/>
      <c r="F930" s="267"/>
      <c r="G930" s="266"/>
      <c r="H930" s="266"/>
      <c r="I930" s="268"/>
      <c r="J930" s="268"/>
      <c r="K930" s="268"/>
    </row>
    <row r="931" spans="1:11" ht="18.75" customHeight="1">
      <c r="A931" s="266"/>
      <c r="B931" s="267"/>
      <c r="C931" s="267"/>
      <c r="D931" s="267"/>
      <c r="E931" s="267"/>
      <c r="F931" s="267"/>
      <c r="G931" s="266"/>
      <c r="H931" s="266"/>
      <c r="I931" s="268"/>
      <c r="J931" s="268"/>
      <c r="K931" s="268"/>
    </row>
    <row r="932" spans="1:11" ht="18.75" customHeight="1">
      <c r="A932" s="266"/>
      <c r="B932" s="267"/>
      <c r="C932" s="267"/>
      <c r="D932" s="267"/>
      <c r="E932" s="267"/>
      <c r="F932" s="267"/>
      <c r="G932" s="266"/>
      <c r="H932" s="266"/>
      <c r="I932" s="268"/>
      <c r="J932" s="268"/>
      <c r="K932" s="268"/>
    </row>
    <row r="933" spans="1:11" ht="7.5" customHeight="1">
      <c r="A933" s="259"/>
      <c r="B933" s="259"/>
      <c r="C933" s="259"/>
      <c r="D933" s="259"/>
      <c r="E933" s="259"/>
      <c r="F933" s="259"/>
      <c r="G933" s="259"/>
      <c r="H933" s="259"/>
      <c r="I933" s="259"/>
      <c r="J933" s="259"/>
      <c r="K933" s="259"/>
    </row>
    <row r="934" spans="1:11" ht="26.25" customHeight="1">
      <c r="A934" s="260" t="s">
        <v>684</v>
      </c>
      <c r="B934" s="260"/>
      <c r="C934" s="260"/>
      <c r="D934" s="260"/>
      <c r="E934" s="260"/>
      <c r="F934" s="260"/>
      <c r="G934" s="260"/>
      <c r="H934" s="260"/>
      <c r="I934" s="260"/>
      <c r="J934" s="260"/>
      <c r="K934" s="260"/>
    </row>
    <row r="935" spans="1:11" ht="18.75" customHeight="1">
      <c r="A935" s="261" t="s">
        <v>1453</v>
      </c>
      <c r="B935" s="261"/>
      <c r="C935" s="261"/>
      <c r="D935" s="261"/>
      <c r="E935" s="261"/>
      <c r="F935" s="261"/>
      <c r="G935" s="261"/>
      <c r="H935" s="261"/>
      <c r="I935" s="261"/>
      <c r="J935" s="261"/>
      <c r="K935" s="261"/>
    </row>
    <row r="936" spans="1:11" ht="18.75" customHeight="1">
      <c r="A936" s="262" t="s">
        <v>686</v>
      </c>
      <c r="B936" s="259" t="s">
        <v>1454</v>
      </c>
      <c r="C936" s="259"/>
      <c r="D936" s="259"/>
      <c r="E936" s="259"/>
      <c r="F936" s="259"/>
      <c r="G936" s="259"/>
      <c r="H936" s="263" t="s">
        <v>754</v>
      </c>
      <c r="I936" s="263"/>
      <c r="J936" s="263"/>
      <c r="K936" s="263"/>
    </row>
    <row r="937" spans="1:11" ht="27.75" customHeight="1">
      <c r="A937" s="264" t="s">
        <v>688</v>
      </c>
      <c r="B937" s="265" t="s">
        <v>1455</v>
      </c>
      <c r="C937" s="265"/>
      <c r="D937" s="265"/>
      <c r="E937" s="265"/>
      <c r="F937" s="265"/>
      <c r="G937" s="265"/>
      <c r="H937" s="265"/>
      <c r="I937" s="265"/>
      <c r="J937" s="265"/>
      <c r="K937" s="265"/>
    </row>
    <row r="938" spans="1:12" ht="18.75" customHeight="1">
      <c r="A938" s="266" t="s">
        <v>28</v>
      </c>
      <c r="B938" s="266" t="s">
        <v>690</v>
      </c>
      <c r="C938" s="266" t="s">
        <v>650</v>
      </c>
      <c r="D938" s="266"/>
      <c r="E938" s="266"/>
      <c r="F938" s="266"/>
      <c r="G938" s="266" t="s">
        <v>651</v>
      </c>
      <c r="H938" s="266"/>
      <c r="I938" s="266" t="s">
        <v>691</v>
      </c>
      <c r="J938" s="266" t="s">
        <v>692</v>
      </c>
      <c r="K938" s="266" t="s">
        <v>693</v>
      </c>
    </row>
    <row r="939" spans="1:12" ht="18.75" customHeight="1">
      <c r="A939" s="266" t="s">
        <v>31</v>
      </c>
      <c r="B939" s="267" t="s">
        <v>694</v>
      </c>
      <c r="C939" s="267"/>
      <c r="D939" s="267"/>
      <c r="E939" s="267"/>
      <c r="F939" s="267"/>
      <c r="G939" s="266" t="s">
        <v>695</v>
      </c>
      <c r="H939" s="266"/>
      <c r="I939" s="268"/>
      <c r="J939" s="268"/>
      <c r="K939" s="380">
        <f>K940+K942+K946+K947+K948</f>
        <v>0</v>
      </c>
    </row>
    <row r="940" spans="1:12" ht="18.75" customHeight="1">
      <c r="A940" s="266" t="s">
        <v>76</v>
      </c>
      <c r="B940" s="267" t="s">
        <v>353</v>
      </c>
      <c r="C940" s="267"/>
      <c r="D940" s="267"/>
      <c r="E940" s="267"/>
      <c r="F940" s="267"/>
      <c r="G940" s="266" t="s">
        <v>695</v>
      </c>
      <c r="H940" s="266"/>
      <c r="I940" s="268"/>
      <c r="J940" s="268"/>
      <c r="K940" s="380">
        <f>SUM(K941:K941)</f>
        <v>0</v>
      </c>
    </row>
    <row r="941" spans="1:12" ht="18.75" customHeight="1">
      <c r="A941" s="266"/>
      <c r="B941" s="267" t="s">
        <v>698</v>
      </c>
      <c r="C941" s="267"/>
      <c r="D941" s="267"/>
      <c r="E941" s="267"/>
      <c r="F941" s="267"/>
      <c r="G941" s="266" t="s">
        <v>699</v>
      </c>
      <c r="H941" s="266"/>
      <c r="I941" s="268">
        <f>ROUND(44,3)</f>
        <v>0</v>
      </c>
      <c r="J941" s="380">
        <v>3.46</v>
      </c>
      <c r="K941" s="380">
        <f>ROUND(I941*J941,2)</f>
        <v>0</v>
      </c>
    </row>
    <row r="942" spans="1:12" ht="18.75" customHeight="1">
      <c r="A942" s="266" t="s">
        <v>152</v>
      </c>
      <c r="B942" s="267" t="s">
        <v>354</v>
      </c>
      <c r="C942" s="267"/>
      <c r="D942" s="267"/>
      <c r="E942" s="267"/>
      <c r="F942" s="267"/>
      <c r="G942" s="266" t="s">
        <v>695</v>
      </c>
      <c r="H942" s="266"/>
      <c r="I942" s="268"/>
      <c r="J942" s="268"/>
      <c r="K942" s="380">
        <f>SUM(K943:K945)</f>
        <v>0</v>
      </c>
    </row>
    <row r="943" spans="1:12" ht="18.75" customHeight="1">
      <c r="A943" s="266"/>
      <c r="B943" s="267" t="s">
        <v>1027</v>
      </c>
      <c r="C943" s="267"/>
      <c r="D943" s="267"/>
      <c r="E943" s="267"/>
      <c r="F943" s="267"/>
      <c r="G943" s="266" t="s">
        <v>81</v>
      </c>
      <c r="H943" s="266"/>
      <c r="I943" s="268">
        <f>ROUND(1.4,3)</f>
        <v>0</v>
      </c>
      <c r="J943" s="380">
        <v>0.5</v>
      </c>
      <c r="K943" s="380">
        <f>ROUND(I943*J943,2)</f>
        <v>0</v>
      </c>
    </row>
    <row r="944" spans="1:12" ht="18.75" customHeight="1">
      <c r="A944" s="266"/>
      <c r="B944" s="267" t="s">
        <v>1460</v>
      </c>
      <c r="C944" s="267"/>
      <c r="D944" s="267"/>
      <c r="E944" s="267"/>
      <c r="F944" s="267"/>
      <c r="G944" s="266" t="s">
        <v>87</v>
      </c>
      <c r="H944" s="266"/>
      <c r="I944" s="268">
        <f>ROUND(104,3)</f>
        <v>0</v>
      </c>
      <c r="J944" s="380">
        <v>5</v>
      </c>
      <c r="K944" s="380">
        <f>ROUND(I944*J944,2)</f>
        <v>0</v>
      </c>
    </row>
    <row r="945" spans="1:12" ht="18.75" customHeight="1">
      <c r="A945" s="266"/>
      <c r="B945" s="267" t="s">
        <v>828</v>
      </c>
      <c r="C945" s="267"/>
      <c r="D945" s="267"/>
      <c r="E945" s="267"/>
      <c r="F945" s="267"/>
      <c r="G945" s="266" t="s">
        <v>334</v>
      </c>
      <c r="H945" s="266"/>
      <c r="I945" s="268">
        <f>ROUND(20,3)</f>
        <v>0</v>
      </c>
      <c r="J945" s="380">
        <f>K943+K944</f>
        <v>0</v>
      </c>
      <c r="K945" s="380">
        <f>ROUND(I945*J945/100,2)</f>
        <v>0</v>
      </c>
    </row>
    <row r="946" spans="1:12" ht="18.75" customHeight="1">
      <c r="A946" s="266" t="s">
        <v>704</v>
      </c>
      <c r="B946" s="267" t="s">
        <v>705</v>
      </c>
      <c r="C946" s="267"/>
      <c r="D946" s="267"/>
      <c r="E946" s="267"/>
      <c r="F946" s="267"/>
      <c r="G946" s="266" t="s">
        <v>695</v>
      </c>
      <c r="H946" s="266"/>
      <c r="I946" s="268"/>
      <c r="J946" s="268"/>
      <c r="K946" s="380">
        <v>0</v>
      </c>
    </row>
    <row r="947" spans="1:12" ht="18.75" customHeight="1">
      <c r="A947" s="266" t="s">
        <v>721</v>
      </c>
      <c r="B947" s="267" t="s">
        <v>722</v>
      </c>
      <c r="C947" s="267"/>
      <c r="D947" s="267"/>
      <c r="E947" s="267"/>
      <c r="F947" s="267"/>
      <c r="G947" s="266" t="s">
        <v>695</v>
      </c>
      <c r="H947" s="266"/>
      <c r="I947" s="268">
        <f>2.5&amp;"%"</f>
        <v>0</v>
      </c>
      <c r="J947" s="380">
        <f>K940+K942+K946</f>
        <v>0</v>
      </c>
      <c r="K947" s="380">
        <f>ROUND(I947*J947,2)</f>
        <v>0</v>
      </c>
    </row>
    <row r="948" spans="1:12" ht="18.75" customHeight="1">
      <c r="A948" s="266" t="s">
        <v>348</v>
      </c>
      <c r="B948" s="267" t="s">
        <v>726</v>
      </c>
      <c r="C948" s="267"/>
      <c r="D948" s="267"/>
      <c r="E948" s="267"/>
      <c r="F948" s="267"/>
      <c r="G948" s="266" t="s">
        <v>695</v>
      </c>
      <c r="H948" s="266"/>
      <c r="I948" s="268">
        <f>4&amp;"%"</f>
        <v>0</v>
      </c>
      <c r="J948" s="380">
        <f>K940+K942+K946</f>
        <v>0</v>
      </c>
      <c r="K948" s="380">
        <f>ROUND(I948*J948,2)</f>
        <v>0</v>
      </c>
    </row>
    <row r="949" spans="1:12" ht="18.75" customHeight="1">
      <c r="A949" s="266" t="s">
        <v>34</v>
      </c>
      <c r="B949" s="267" t="s">
        <v>729</v>
      </c>
      <c r="C949" s="267"/>
      <c r="D949" s="267"/>
      <c r="E949" s="267"/>
      <c r="F949" s="267"/>
      <c r="G949" s="266" t="s">
        <v>695</v>
      </c>
      <c r="H949" s="266"/>
      <c r="I949" s="268">
        <f>3.8&amp;"%"</f>
        <v>0</v>
      </c>
      <c r="J949" s="380">
        <f>K939</f>
        <v>0</v>
      </c>
      <c r="K949" s="380">
        <f>ROUND(I949*J949,2)</f>
        <v>0</v>
      </c>
    </row>
    <row r="950" spans="1:12" ht="18.75" customHeight="1">
      <c r="A950" s="266" t="s">
        <v>37</v>
      </c>
      <c r="B950" s="267" t="s">
        <v>732</v>
      </c>
      <c r="C950" s="267"/>
      <c r="D950" s="267"/>
      <c r="E950" s="267"/>
      <c r="F950" s="267"/>
      <c r="G950" s="266" t="s">
        <v>695</v>
      </c>
      <c r="H950" s="266"/>
      <c r="I950" s="268">
        <f>32.8&amp;"%"</f>
        <v>0</v>
      </c>
      <c r="J950" s="380">
        <f>K940</f>
        <v>0</v>
      </c>
      <c r="K950" s="380">
        <f>ROUND(I950*J950,2)</f>
        <v>0</v>
      </c>
    </row>
    <row r="951" spans="1:12" ht="18.75" customHeight="1">
      <c r="A951" s="266" t="s">
        <v>40</v>
      </c>
      <c r="B951" s="267" t="s">
        <v>736</v>
      </c>
      <c r="C951" s="267"/>
      <c r="D951" s="267"/>
      <c r="E951" s="267"/>
      <c r="F951" s="267"/>
      <c r="G951" s="266" t="s">
        <v>695</v>
      </c>
      <c r="H951" s="266"/>
      <c r="I951" s="268">
        <f>7&amp;"%"</f>
        <v>0</v>
      </c>
      <c r="J951" s="380">
        <f>K939+K949+K950</f>
        <v>0</v>
      </c>
      <c r="K951" s="380">
        <f>ROUND(I951*J951,2)</f>
        <v>0</v>
      </c>
    </row>
    <row r="952" spans="1:12" ht="18.75" customHeight="1">
      <c r="A952" s="266" t="s">
        <v>43</v>
      </c>
      <c r="B952" s="267" t="s">
        <v>361</v>
      </c>
      <c r="C952" s="267"/>
      <c r="D952" s="267"/>
      <c r="E952" s="267"/>
      <c r="F952" s="267"/>
      <c r="G952" s="266" t="s">
        <v>695</v>
      </c>
      <c r="H952" s="266"/>
      <c r="I952" s="268"/>
      <c r="J952" s="268"/>
      <c r="K952" s="380">
        <f>SUM(K953:K953)</f>
        <v>0</v>
      </c>
    </row>
    <row r="953" spans="1:12" ht="18.75" customHeight="1">
      <c r="A953" s="266"/>
      <c r="B953" s="267" t="s">
        <v>698</v>
      </c>
      <c r="C953" s="267"/>
      <c r="D953" s="267"/>
      <c r="E953" s="267"/>
      <c r="F953" s="267"/>
      <c r="G953" s="266" t="s">
        <v>699</v>
      </c>
      <c r="H953" s="266"/>
      <c r="I953" s="268">
        <f>ROUND(I941,3)</f>
        <v>0</v>
      </c>
      <c r="J953" s="380">
        <v>4</v>
      </c>
      <c r="K953" s="380">
        <f>ROUND(I953*J953,2)</f>
        <v>0</v>
      </c>
    </row>
    <row r="954" spans="1:12" ht="18.75" customHeight="1">
      <c r="A954" s="266" t="s">
        <v>46</v>
      </c>
      <c r="B954" s="267" t="s">
        <v>362</v>
      </c>
      <c r="C954" s="267"/>
      <c r="D954" s="267"/>
      <c r="E954" s="267"/>
      <c r="F954" s="267"/>
      <c r="G954" s="266" t="s">
        <v>695</v>
      </c>
      <c r="H954" s="266"/>
      <c r="I954" s="268">
        <f>0&amp;"%"</f>
        <v>0</v>
      </c>
      <c r="J954" s="380">
        <f>K939+K949+K950+K951+K952</f>
        <v>0</v>
      </c>
      <c r="K954" s="380">
        <f>ROUND(I954*J954,2)</f>
        <v>0</v>
      </c>
    </row>
    <row r="955" spans="1:12" ht="18.75" customHeight="1">
      <c r="A955" s="266" t="s">
        <v>49</v>
      </c>
      <c r="B955" s="267" t="s">
        <v>363</v>
      </c>
      <c r="C955" s="267"/>
      <c r="D955" s="267"/>
      <c r="E955" s="267"/>
      <c r="F955" s="267"/>
      <c r="G955" s="266" t="s">
        <v>695</v>
      </c>
      <c r="H955" s="266"/>
      <c r="I955" s="268">
        <f>9&amp;"%"</f>
        <v>0</v>
      </c>
      <c r="J955" s="380">
        <f>K939+K949+K950+K951+K952+K954</f>
        <v>0</v>
      </c>
      <c r="K955" s="380">
        <f>ROUND(I955*J955,2)</f>
        <v>0</v>
      </c>
    </row>
    <row r="956" spans="1:12" ht="18.75" customHeight="1">
      <c r="A956" s="266"/>
      <c r="B956" s="267" t="s">
        <v>64</v>
      </c>
      <c r="C956" s="267"/>
      <c r="D956" s="267"/>
      <c r="E956" s="267"/>
      <c r="F956" s="267"/>
      <c r="G956" s="266" t="s">
        <v>695</v>
      </c>
      <c r="H956" s="266"/>
      <c r="I956" s="268"/>
      <c r="J956" s="268"/>
      <c r="K956" s="380">
        <f>K939+K949+K950+K951+K952+K954+K955</f>
        <v>0</v>
      </c>
    </row>
    <row r="957" spans="1:12" ht="18.75" customHeight="1">
      <c r="A957" s="266"/>
      <c r="B957" s="267" t="s">
        <v>752</v>
      </c>
      <c r="C957" s="267"/>
      <c r="D957" s="267"/>
      <c r="E957" s="267"/>
      <c r="F957" s="267"/>
      <c r="G957" s="266" t="s">
        <v>695</v>
      </c>
      <c r="H957" s="266"/>
      <c r="I957" s="268"/>
      <c r="J957" s="268"/>
      <c r="K957" s="380">
        <f>ROUND(K956/100,2)</f>
        <v>0</v>
      </c>
    </row>
    <row r="958" spans="1:11" ht="18.75" customHeight="1">
      <c r="A958" s="266"/>
      <c r="B958" s="267"/>
      <c r="C958" s="267"/>
      <c r="D958" s="267"/>
      <c r="E958" s="267"/>
      <c r="F958" s="267"/>
      <c r="G958" s="266"/>
      <c r="H958" s="266"/>
      <c r="I958" s="268"/>
      <c r="J958" s="268"/>
      <c r="K958" s="268"/>
    </row>
    <row r="959" spans="1:11" ht="18.75" customHeight="1">
      <c r="A959" s="266"/>
      <c r="B959" s="267"/>
      <c r="C959" s="267"/>
      <c r="D959" s="267"/>
      <c r="E959" s="267"/>
      <c r="F959" s="267"/>
      <c r="G959" s="266"/>
      <c r="H959" s="266"/>
      <c r="I959" s="268"/>
      <c r="J959" s="268"/>
      <c r="K959" s="268"/>
    </row>
    <row r="960" spans="1:11" ht="18.75" customHeight="1">
      <c r="A960" s="266"/>
      <c r="B960" s="267"/>
      <c r="C960" s="267"/>
      <c r="D960" s="267"/>
      <c r="E960" s="267"/>
      <c r="F960" s="267"/>
      <c r="G960" s="266"/>
      <c r="H960" s="266"/>
      <c r="I960" s="268"/>
      <c r="J960" s="268"/>
      <c r="K960" s="268"/>
    </row>
    <row r="961" spans="1:11" ht="18.75" customHeight="1">
      <c r="A961" s="266"/>
      <c r="B961" s="267"/>
      <c r="C961" s="267"/>
      <c r="D961" s="267"/>
      <c r="E961" s="267"/>
      <c r="F961" s="267"/>
      <c r="G961" s="266"/>
      <c r="H961" s="266"/>
      <c r="I961" s="268"/>
      <c r="J961" s="268"/>
      <c r="K961" s="268"/>
    </row>
    <row r="962" spans="1:11" ht="18.75" customHeight="1">
      <c r="A962" s="266"/>
      <c r="B962" s="267"/>
      <c r="C962" s="267"/>
      <c r="D962" s="267"/>
      <c r="E962" s="267"/>
      <c r="F962" s="267"/>
      <c r="G962" s="266"/>
      <c r="H962" s="266"/>
      <c r="I962" s="268"/>
      <c r="J962" s="268"/>
      <c r="K962" s="268"/>
    </row>
    <row r="963" spans="1:11" ht="18.75" customHeight="1">
      <c r="A963" s="266"/>
      <c r="B963" s="267"/>
      <c r="C963" s="267"/>
      <c r="D963" s="267"/>
      <c r="E963" s="267"/>
      <c r="F963" s="267"/>
      <c r="G963" s="266"/>
      <c r="H963" s="266"/>
      <c r="I963" s="268"/>
      <c r="J963" s="268"/>
      <c r="K963" s="268"/>
    </row>
    <row r="964" spans="1:11" ht="18.75" customHeight="1">
      <c r="A964" s="266"/>
      <c r="B964" s="267"/>
      <c r="C964" s="267"/>
      <c r="D964" s="267"/>
      <c r="E964" s="267"/>
      <c r="F964" s="267"/>
      <c r="G964" s="266"/>
      <c r="H964" s="266"/>
      <c r="I964" s="268"/>
      <c r="J964" s="268"/>
      <c r="K964" s="268"/>
    </row>
    <row r="965" spans="1:11" ht="18.75" customHeight="1">
      <c r="A965" s="266"/>
      <c r="B965" s="267"/>
      <c r="C965" s="267"/>
      <c r="D965" s="267"/>
      <c r="E965" s="267"/>
      <c r="F965" s="267"/>
      <c r="G965" s="266"/>
      <c r="H965" s="266"/>
      <c r="I965" s="268"/>
      <c r="J965" s="268"/>
      <c r="K965" s="268"/>
    </row>
    <row r="966" spans="1:11" ht="18.75" customHeight="1">
      <c r="A966" s="266"/>
      <c r="B966" s="267"/>
      <c r="C966" s="267"/>
      <c r="D966" s="267"/>
      <c r="E966" s="267"/>
      <c r="F966" s="267"/>
      <c r="G966" s="266"/>
      <c r="H966" s="266"/>
      <c r="I966" s="268"/>
      <c r="J966" s="268"/>
      <c r="K966" s="268"/>
    </row>
    <row r="967" spans="1:11" ht="18.75" customHeight="1">
      <c r="A967" s="266"/>
      <c r="B967" s="267"/>
      <c r="C967" s="267"/>
      <c r="D967" s="267"/>
      <c r="E967" s="267"/>
      <c r="F967" s="267"/>
      <c r="G967" s="266"/>
      <c r="H967" s="266"/>
      <c r="I967" s="268"/>
      <c r="J967" s="268"/>
      <c r="K967" s="268"/>
    </row>
    <row r="968" spans="1:11" ht="18.75" customHeight="1">
      <c r="A968" s="266"/>
      <c r="B968" s="267"/>
      <c r="C968" s="267"/>
      <c r="D968" s="267"/>
      <c r="E968" s="267"/>
      <c r="F968" s="267"/>
      <c r="G968" s="266"/>
      <c r="H968" s="266"/>
      <c r="I968" s="268"/>
      <c r="J968" s="268"/>
      <c r="K968" s="268"/>
    </row>
    <row r="969" spans="1:11" ht="18.75" customHeight="1">
      <c r="A969" s="266"/>
      <c r="B969" s="267"/>
      <c r="C969" s="267"/>
      <c r="D969" s="267"/>
      <c r="E969" s="267"/>
      <c r="F969" s="267"/>
      <c r="G969" s="266"/>
      <c r="H969" s="266"/>
      <c r="I969" s="268"/>
      <c r="J969" s="268"/>
      <c r="K969" s="268"/>
    </row>
    <row r="970" spans="1:11" ht="7.5" customHeight="1">
      <c r="A970" s="259"/>
      <c r="B970" s="259"/>
      <c r="C970" s="259"/>
      <c r="D970" s="259"/>
      <c r="E970" s="259"/>
      <c r="F970" s="259"/>
      <c r="G970" s="259"/>
      <c r="H970" s="259"/>
      <c r="I970" s="259"/>
      <c r="J970" s="259"/>
      <c r="K970" s="259"/>
    </row>
    <row r="971" spans="1:11" ht="26.25" customHeight="1">
      <c r="A971" s="260" t="s">
        <v>684</v>
      </c>
      <c r="B971" s="260"/>
      <c r="C971" s="260"/>
      <c r="D971" s="260"/>
      <c r="E971" s="260"/>
      <c r="F971" s="260"/>
      <c r="G971" s="260"/>
      <c r="H971" s="260"/>
      <c r="I971" s="260"/>
      <c r="J971" s="260"/>
      <c r="K971" s="260"/>
    </row>
    <row r="972" spans="1:11" ht="18.75" customHeight="1">
      <c r="A972" s="261" t="s">
        <v>1479</v>
      </c>
      <c r="B972" s="261"/>
      <c r="C972" s="261"/>
      <c r="D972" s="261"/>
      <c r="E972" s="261"/>
      <c r="F972" s="261"/>
      <c r="G972" s="261"/>
      <c r="H972" s="261"/>
      <c r="I972" s="261"/>
      <c r="J972" s="261"/>
      <c r="K972" s="261"/>
    </row>
    <row r="973" spans="1:11" ht="18.75" customHeight="1">
      <c r="A973" s="262" t="s">
        <v>686</v>
      </c>
      <c r="B973" s="259" t="s">
        <v>1480</v>
      </c>
      <c r="C973" s="259"/>
      <c r="D973" s="259"/>
      <c r="E973" s="259"/>
      <c r="F973" s="259"/>
      <c r="G973" s="259"/>
      <c r="H973" s="263" t="s">
        <v>687</v>
      </c>
      <c r="I973" s="263"/>
      <c r="J973" s="263"/>
      <c r="K973" s="263"/>
    </row>
    <row r="974" spans="1:11" ht="27.75" customHeight="1">
      <c r="A974" s="264" t="s">
        <v>688</v>
      </c>
      <c r="B974" s="265" t="s">
        <v>1481</v>
      </c>
      <c r="C974" s="265"/>
      <c r="D974" s="265"/>
      <c r="E974" s="265"/>
      <c r="F974" s="265"/>
      <c r="G974" s="265"/>
      <c r="H974" s="265"/>
      <c r="I974" s="265"/>
      <c r="J974" s="265"/>
      <c r="K974" s="265"/>
    </row>
    <row r="975" spans="1:12" ht="18.75" customHeight="1">
      <c r="A975" s="266" t="s">
        <v>28</v>
      </c>
      <c r="B975" s="266" t="s">
        <v>690</v>
      </c>
      <c r="C975" s="266" t="s">
        <v>650</v>
      </c>
      <c r="D975" s="266"/>
      <c r="E975" s="266"/>
      <c r="F975" s="266"/>
      <c r="G975" s="266" t="s">
        <v>651</v>
      </c>
      <c r="H975" s="266"/>
      <c r="I975" s="266" t="s">
        <v>691</v>
      </c>
      <c r="J975" s="266" t="s">
        <v>692</v>
      </c>
      <c r="K975" s="266" t="s">
        <v>693</v>
      </c>
    </row>
    <row r="976" spans="1:12" ht="18.75" customHeight="1">
      <c r="A976" s="266" t="s">
        <v>31</v>
      </c>
      <c r="B976" s="267" t="s">
        <v>694</v>
      </c>
      <c r="C976" s="267"/>
      <c r="D976" s="267"/>
      <c r="E976" s="267"/>
      <c r="F976" s="267"/>
      <c r="G976" s="266" t="s">
        <v>695</v>
      </c>
      <c r="H976" s="266"/>
      <c r="I976" s="268"/>
      <c r="J976" s="268"/>
      <c r="K976" s="380">
        <f>K977+K979+K982+K983+K984</f>
        <v>0</v>
      </c>
    </row>
    <row r="977" spans="1:12" ht="18.75" customHeight="1">
      <c r="A977" s="266" t="s">
        <v>76</v>
      </c>
      <c r="B977" s="267" t="s">
        <v>353</v>
      </c>
      <c r="C977" s="267"/>
      <c r="D977" s="267"/>
      <c r="E977" s="267"/>
      <c r="F977" s="267"/>
      <c r="G977" s="266" t="s">
        <v>695</v>
      </c>
      <c r="H977" s="266"/>
      <c r="I977" s="268"/>
      <c r="J977" s="268"/>
      <c r="K977" s="380">
        <f>SUM(K978:K978)</f>
        <v>0</v>
      </c>
    </row>
    <row r="978" spans="1:12" ht="18.75" customHeight="1">
      <c r="A978" s="266"/>
      <c r="B978" s="267" t="s">
        <v>698</v>
      </c>
      <c r="C978" s="267"/>
      <c r="D978" s="267"/>
      <c r="E978" s="267"/>
      <c r="F978" s="267"/>
      <c r="G978" s="266" t="s">
        <v>699</v>
      </c>
      <c r="H978" s="266"/>
      <c r="I978" s="268">
        <f>ROUND(388.9,3)</f>
        <v>0</v>
      </c>
      <c r="J978" s="380">
        <v>3.46</v>
      </c>
      <c r="K978" s="380">
        <f>ROUND(I978*J978,2)</f>
        <v>0</v>
      </c>
    </row>
    <row r="979" spans="1:12" ht="18.75" customHeight="1">
      <c r="A979" s="266" t="s">
        <v>152</v>
      </c>
      <c r="B979" s="267" t="s">
        <v>354</v>
      </c>
      <c r="C979" s="267"/>
      <c r="D979" s="267"/>
      <c r="E979" s="267"/>
      <c r="F979" s="267"/>
      <c r="G979" s="266" t="s">
        <v>695</v>
      </c>
      <c r="H979" s="266"/>
      <c r="I979" s="268"/>
      <c r="J979" s="268"/>
      <c r="K979" s="380">
        <f>SUM(K980:K981)</f>
        <v>0</v>
      </c>
    </row>
    <row r="980" spans="1:12" ht="18.75" customHeight="1">
      <c r="A980" s="266"/>
      <c r="B980" s="267" t="s">
        <v>1486</v>
      </c>
      <c r="C980" s="267"/>
      <c r="D980" s="267"/>
      <c r="E980" s="267"/>
      <c r="F980" s="267"/>
      <c r="G980" s="266" t="s">
        <v>1487</v>
      </c>
      <c r="H980" s="266"/>
      <c r="I980" s="268">
        <f>ROUND(3300,3)</f>
        <v>0</v>
      </c>
      <c r="J980" s="380">
        <v>0.5</v>
      </c>
      <c r="K980" s="380">
        <f>ROUND(I980*J980,2)</f>
        <v>0</v>
      </c>
    </row>
    <row r="981" spans="1:12" ht="18.75" customHeight="1">
      <c r="A981" s="266"/>
      <c r="B981" s="267" t="s">
        <v>828</v>
      </c>
      <c r="C981" s="267"/>
      <c r="D981" s="267"/>
      <c r="E981" s="267"/>
      <c r="F981" s="267"/>
      <c r="G981" s="266" t="s">
        <v>334</v>
      </c>
      <c r="H981" s="266"/>
      <c r="I981" s="268">
        <f>ROUND(1,3)</f>
        <v>0</v>
      </c>
      <c r="J981" s="380">
        <f>K980</f>
        <v>0</v>
      </c>
      <c r="K981" s="380">
        <f>ROUND(I981*J981/100,2)</f>
        <v>0</v>
      </c>
    </row>
    <row r="982" spans="1:12" ht="18.75" customHeight="1">
      <c r="A982" s="266" t="s">
        <v>704</v>
      </c>
      <c r="B982" s="267" t="s">
        <v>705</v>
      </c>
      <c r="C982" s="267"/>
      <c r="D982" s="267"/>
      <c r="E982" s="267"/>
      <c r="F982" s="267"/>
      <c r="G982" s="266" t="s">
        <v>695</v>
      </c>
      <c r="H982" s="266"/>
      <c r="I982" s="268"/>
      <c r="J982" s="268"/>
      <c r="K982" s="380">
        <v>0</v>
      </c>
    </row>
    <row r="983" spans="1:12" ht="18.75" customHeight="1">
      <c r="A983" s="266" t="s">
        <v>721</v>
      </c>
      <c r="B983" s="267" t="s">
        <v>722</v>
      </c>
      <c r="C983" s="267"/>
      <c r="D983" s="267"/>
      <c r="E983" s="267"/>
      <c r="F983" s="267"/>
      <c r="G983" s="266" t="s">
        <v>695</v>
      </c>
      <c r="H983" s="266"/>
      <c r="I983" s="268">
        <f>3.5&amp;"%"</f>
        <v>0</v>
      </c>
      <c r="J983" s="380">
        <f>K977+K979+K982</f>
        <v>0</v>
      </c>
      <c r="K983" s="380">
        <f>ROUND(I983*J983,2)</f>
        <v>0</v>
      </c>
    </row>
    <row r="984" spans="1:12" ht="18.75" customHeight="1">
      <c r="A984" s="266" t="s">
        <v>348</v>
      </c>
      <c r="B984" s="267" t="s">
        <v>726</v>
      </c>
      <c r="C984" s="267"/>
      <c r="D984" s="267"/>
      <c r="E984" s="267"/>
      <c r="F984" s="267"/>
      <c r="G984" s="266" t="s">
        <v>695</v>
      </c>
      <c r="H984" s="266"/>
      <c r="I984" s="268">
        <f>5&amp;"%"</f>
        <v>0</v>
      </c>
      <c r="J984" s="380">
        <f>K977+K979+K982</f>
        <v>0</v>
      </c>
      <c r="K984" s="380">
        <f>ROUND(I984*J984,2)</f>
        <v>0</v>
      </c>
    </row>
    <row r="985" spans="1:12" ht="18.75" customHeight="1">
      <c r="A985" s="266" t="s">
        <v>34</v>
      </c>
      <c r="B985" s="267" t="s">
        <v>729</v>
      </c>
      <c r="C985" s="267"/>
      <c r="D985" s="267"/>
      <c r="E985" s="267"/>
      <c r="F985" s="267"/>
      <c r="G985" s="266" t="s">
        <v>695</v>
      </c>
      <c r="H985" s="266"/>
      <c r="I985" s="268">
        <f>4.8&amp;"%"</f>
        <v>0</v>
      </c>
      <c r="J985" s="380">
        <f>K976</f>
        <v>0</v>
      </c>
      <c r="K985" s="380">
        <f>ROUND(I985*J985,2)</f>
        <v>0</v>
      </c>
    </row>
    <row r="986" spans="1:12" ht="18.75" customHeight="1">
      <c r="A986" s="266" t="s">
        <v>37</v>
      </c>
      <c r="B986" s="267" t="s">
        <v>732</v>
      </c>
      <c r="C986" s="267"/>
      <c r="D986" s="267"/>
      <c r="E986" s="267"/>
      <c r="F986" s="267"/>
      <c r="G986" s="266" t="s">
        <v>695</v>
      </c>
      <c r="H986" s="266"/>
      <c r="I986" s="268">
        <f>32.8&amp;"%"</f>
        <v>0</v>
      </c>
      <c r="J986" s="380">
        <f>K977</f>
        <v>0</v>
      </c>
      <c r="K986" s="380">
        <f>ROUND(I986*J986,2)</f>
        <v>0</v>
      </c>
    </row>
    <row r="987" spans="1:12" ht="18.75" customHeight="1">
      <c r="A987" s="266" t="s">
        <v>40</v>
      </c>
      <c r="B987" s="267" t="s">
        <v>736</v>
      </c>
      <c r="C987" s="267"/>
      <c r="D987" s="267"/>
      <c r="E987" s="267"/>
      <c r="F987" s="267"/>
      <c r="G987" s="266" t="s">
        <v>695</v>
      </c>
      <c r="H987" s="266"/>
      <c r="I987" s="268">
        <f>7&amp;"%"</f>
        <v>0</v>
      </c>
      <c r="J987" s="380">
        <f>K976+K985+K986</f>
        <v>0</v>
      </c>
      <c r="K987" s="380">
        <f>ROUND(I987*J987,2)</f>
        <v>0</v>
      </c>
    </row>
    <row r="988" spans="1:12" ht="18.75" customHeight="1">
      <c r="A988" s="266" t="s">
        <v>43</v>
      </c>
      <c r="B988" s="267" t="s">
        <v>361</v>
      </c>
      <c r="C988" s="267"/>
      <c r="D988" s="267"/>
      <c r="E988" s="267"/>
      <c r="F988" s="267"/>
      <c r="G988" s="266" t="s">
        <v>695</v>
      </c>
      <c r="H988" s="266"/>
      <c r="I988" s="268"/>
      <c r="J988" s="268"/>
      <c r="K988" s="380">
        <f>SUM(K989:K989)</f>
        <v>0</v>
      </c>
    </row>
    <row r="989" spans="1:12" ht="18.75" customHeight="1">
      <c r="A989" s="266"/>
      <c r="B989" s="267" t="s">
        <v>698</v>
      </c>
      <c r="C989" s="267"/>
      <c r="D989" s="267"/>
      <c r="E989" s="267"/>
      <c r="F989" s="267"/>
      <c r="G989" s="266" t="s">
        <v>699</v>
      </c>
      <c r="H989" s="266"/>
      <c r="I989" s="268">
        <f>ROUND(I978,3)</f>
        <v>0</v>
      </c>
      <c r="J989" s="380">
        <v>4</v>
      </c>
      <c r="K989" s="380">
        <f>ROUND(I989*J989,2)</f>
        <v>0</v>
      </c>
    </row>
    <row r="990" spans="1:12" ht="18.75" customHeight="1">
      <c r="A990" s="266" t="s">
        <v>46</v>
      </c>
      <c r="B990" s="267" t="s">
        <v>362</v>
      </c>
      <c r="C990" s="267"/>
      <c r="D990" s="267"/>
      <c r="E990" s="267"/>
      <c r="F990" s="267"/>
      <c r="G990" s="266" t="s">
        <v>695</v>
      </c>
      <c r="H990" s="266"/>
      <c r="I990" s="268">
        <f>0&amp;"%"</f>
        <v>0</v>
      </c>
      <c r="J990" s="380">
        <f>K976+K985+K986+K987+K988</f>
        <v>0</v>
      </c>
      <c r="K990" s="380">
        <f>ROUND(I990*J990,2)</f>
        <v>0</v>
      </c>
    </row>
    <row r="991" spans="1:12" ht="18.75" customHeight="1">
      <c r="A991" s="266" t="s">
        <v>49</v>
      </c>
      <c r="B991" s="267" t="s">
        <v>363</v>
      </c>
      <c r="C991" s="267"/>
      <c r="D991" s="267"/>
      <c r="E991" s="267"/>
      <c r="F991" s="267"/>
      <c r="G991" s="266" t="s">
        <v>695</v>
      </c>
      <c r="H991" s="266"/>
      <c r="I991" s="268">
        <f>9&amp;"%"</f>
        <v>0</v>
      </c>
      <c r="J991" s="380">
        <f>K976+K985+K986+K987+K988+K990</f>
        <v>0</v>
      </c>
      <c r="K991" s="380">
        <f>ROUND(I991*J991,2)</f>
        <v>0</v>
      </c>
    </row>
    <row r="992" spans="1:12" ht="18.75" customHeight="1">
      <c r="A992" s="266"/>
      <c r="B992" s="267" t="s">
        <v>64</v>
      </c>
      <c r="C992" s="267"/>
      <c r="D992" s="267"/>
      <c r="E992" s="267"/>
      <c r="F992" s="267"/>
      <c r="G992" s="266" t="s">
        <v>695</v>
      </c>
      <c r="H992" s="266"/>
      <c r="I992" s="268"/>
      <c r="J992" s="268"/>
      <c r="K992" s="380">
        <f>K976+K985+K986+K987+K988+K990+K991</f>
        <v>0</v>
      </c>
    </row>
    <row r="993" spans="1:12" ht="18.75" customHeight="1">
      <c r="A993" s="266"/>
      <c r="B993" s="267" t="s">
        <v>752</v>
      </c>
      <c r="C993" s="267"/>
      <c r="D993" s="267"/>
      <c r="E993" s="267"/>
      <c r="F993" s="267"/>
      <c r="G993" s="266" t="s">
        <v>695</v>
      </c>
      <c r="H993" s="266"/>
      <c r="I993" s="268"/>
      <c r="J993" s="268"/>
      <c r="K993" s="380">
        <f>ROUND(K992/100,2)</f>
        <v>0</v>
      </c>
    </row>
    <row r="994" spans="1:11" ht="18.75" customHeight="1">
      <c r="A994" s="266"/>
      <c r="B994" s="267"/>
      <c r="C994" s="267"/>
      <c r="D994" s="267"/>
      <c r="E994" s="267"/>
      <c r="F994" s="267"/>
      <c r="G994" s="266"/>
      <c r="H994" s="266"/>
      <c r="I994" s="268"/>
      <c r="J994" s="268"/>
      <c r="K994" s="268"/>
    </row>
    <row r="995" spans="1:11" ht="18.75" customHeight="1">
      <c r="A995" s="266"/>
      <c r="B995" s="267"/>
      <c r="C995" s="267"/>
      <c r="D995" s="267"/>
      <c r="E995" s="267"/>
      <c r="F995" s="267"/>
      <c r="G995" s="266"/>
      <c r="H995" s="266"/>
      <c r="I995" s="268"/>
      <c r="J995" s="268"/>
      <c r="K995" s="268"/>
    </row>
    <row r="996" spans="1:11" ht="18.75" customHeight="1">
      <c r="A996" s="266"/>
      <c r="B996" s="267"/>
      <c r="C996" s="267"/>
      <c r="D996" s="267"/>
      <c r="E996" s="267"/>
      <c r="F996" s="267"/>
      <c r="G996" s="266"/>
      <c r="H996" s="266"/>
      <c r="I996" s="268"/>
      <c r="J996" s="268"/>
      <c r="K996" s="268"/>
    </row>
    <row r="997" spans="1:11" ht="18.75" customHeight="1">
      <c r="A997" s="266"/>
      <c r="B997" s="267"/>
      <c r="C997" s="267"/>
      <c r="D997" s="267"/>
      <c r="E997" s="267"/>
      <c r="F997" s="267"/>
      <c r="G997" s="266"/>
      <c r="H997" s="266"/>
      <c r="I997" s="268"/>
      <c r="J997" s="268"/>
      <c r="K997" s="268"/>
    </row>
    <row r="998" spans="1:11" ht="18.75" customHeight="1">
      <c r="A998" s="266"/>
      <c r="B998" s="267"/>
      <c r="C998" s="267"/>
      <c r="D998" s="267"/>
      <c r="E998" s="267"/>
      <c r="F998" s="267"/>
      <c r="G998" s="266"/>
      <c r="H998" s="266"/>
      <c r="I998" s="268"/>
      <c r="J998" s="268"/>
      <c r="K998" s="268"/>
    </row>
    <row r="999" spans="1:11" ht="18.75" customHeight="1">
      <c r="A999" s="266"/>
      <c r="B999" s="267"/>
      <c r="C999" s="267"/>
      <c r="D999" s="267"/>
      <c r="E999" s="267"/>
      <c r="F999" s="267"/>
      <c r="G999" s="266"/>
      <c r="H999" s="266"/>
      <c r="I999" s="268"/>
      <c r="J999" s="268"/>
      <c r="K999" s="268"/>
    </row>
    <row r="1000" spans="1:11" ht="18.75" customHeight="1">
      <c r="A1000" s="266"/>
      <c r="B1000" s="267"/>
      <c r="C1000" s="267"/>
      <c r="D1000" s="267"/>
      <c r="E1000" s="267"/>
      <c r="F1000" s="267"/>
      <c r="G1000" s="266"/>
      <c r="H1000" s="266"/>
      <c r="I1000" s="268"/>
      <c r="J1000" s="268"/>
      <c r="K1000" s="268"/>
    </row>
    <row r="1001" spans="1:11" ht="18.75" customHeight="1">
      <c r="A1001" s="266"/>
      <c r="B1001" s="267"/>
      <c r="C1001" s="267"/>
      <c r="D1001" s="267"/>
      <c r="E1001" s="267"/>
      <c r="F1001" s="267"/>
      <c r="G1001" s="266"/>
      <c r="H1001" s="266"/>
      <c r="I1001" s="268"/>
      <c r="J1001" s="268"/>
      <c r="K1001" s="268"/>
    </row>
    <row r="1002" spans="1:11" ht="18.75" customHeight="1">
      <c r="A1002" s="266"/>
      <c r="B1002" s="267"/>
      <c r="C1002" s="267"/>
      <c r="D1002" s="267"/>
      <c r="E1002" s="267"/>
      <c r="F1002" s="267"/>
      <c r="G1002" s="266"/>
      <c r="H1002" s="266"/>
      <c r="I1002" s="268"/>
      <c r="J1002" s="268"/>
      <c r="K1002" s="268"/>
    </row>
    <row r="1003" spans="1:11" ht="18.75" customHeight="1">
      <c r="A1003" s="266"/>
      <c r="B1003" s="267"/>
      <c r="C1003" s="267"/>
      <c r="D1003" s="267"/>
      <c r="E1003" s="267"/>
      <c r="F1003" s="267"/>
      <c r="G1003" s="266"/>
      <c r="H1003" s="266"/>
      <c r="I1003" s="268"/>
      <c r="J1003" s="268"/>
      <c r="K1003" s="268"/>
    </row>
    <row r="1004" spans="1:11" ht="18.75" customHeight="1">
      <c r="A1004" s="266"/>
      <c r="B1004" s="267"/>
      <c r="C1004" s="267"/>
      <c r="D1004" s="267"/>
      <c r="E1004" s="267"/>
      <c r="F1004" s="267"/>
      <c r="G1004" s="266"/>
      <c r="H1004" s="266"/>
      <c r="I1004" s="268"/>
      <c r="J1004" s="268"/>
      <c r="K1004" s="268"/>
    </row>
    <row r="1005" spans="1:11" ht="18.75" customHeight="1">
      <c r="A1005" s="266"/>
      <c r="B1005" s="267"/>
      <c r="C1005" s="267"/>
      <c r="D1005" s="267"/>
      <c r="E1005" s="267"/>
      <c r="F1005" s="267"/>
      <c r="G1005" s="266"/>
      <c r="H1005" s="266"/>
      <c r="I1005" s="268"/>
      <c r="J1005" s="268"/>
      <c r="K1005" s="268"/>
    </row>
    <row r="1006" spans="1:11" ht="18.75" customHeight="1">
      <c r="A1006" s="266"/>
      <c r="B1006" s="267"/>
      <c r="C1006" s="267"/>
      <c r="D1006" s="267"/>
      <c r="E1006" s="267"/>
      <c r="F1006" s="267"/>
      <c r="G1006" s="266"/>
      <c r="H1006" s="266"/>
      <c r="I1006" s="268"/>
      <c r="J1006" s="268"/>
      <c r="K1006" s="268"/>
    </row>
    <row r="1007" spans="1:11" ht="7.5" customHeight="1">
      <c r="A1007" s="259"/>
      <c r="B1007" s="259"/>
      <c r="C1007" s="259"/>
      <c r="D1007" s="259"/>
      <c r="E1007" s="259"/>
      <c r="F1007" s="259"/>
      <c r="G1007" s="259"/>
      <c r="H1007" s="259"/>
      <c r="I1007" s="259"/>
      <c r="J1007" s="259"/>
      <c r="K1007" s="259"/>
    </row>
    <row r="1008" spans="1:11" ht="26.25" customHeight="1">
      <c r="A1008" s="260" t="s">
        <v>684</v>
      </c>
      <c r="B1008" s="260"/>
      <c r="C1008" s="260"/>
      <c r="D1008" s="260"/>
      <c r="E1008" s="260"/>
      <c r="F1008" s="260"/>
      <c r="G1008" s="260"/>
      <c r="H1008" s="260"/>
      <c r="I1008" s="260"/>
      <c r="J1008" s="260"/>
      <c r="K1008" s="260"/>
    </row>
    <row r="1009" spans="1:11" ht="18.75" customHeight="1">
      <c r="A1009" s="261" t="s">
        <v>1504</v>
      </c>
      <c r="B1009" s="261"/>
      <c r="C1009" s="261"/>
      <c r="D1009" s="261"/>
      <c r="E1009" s="261"/>
      <c r="F1009" s="261"/>
      <c r="G1009" s="261"/>
      <c r="H1009" s="261"/>
      <c r="I1009" s="261"/>
      <c r="J1009" s="261"/>
      <c r="K1009" s="261"/>
    </row>
    <row r="1010" spans="1:11" ht="18.75" customHeight="1">
      <c r="A1010" s="262" t="s">
        <v>686</v>
      </c>
      <c r="B1010" s="259" t="s">
        <v>1505</v>
      </c>
      <c r="C1010" s="259"/>
      <c r="D1010" s="259"/>
      <c r="E1010" s="259"/>
      <c r="F1010" s="259"/>
      <c r="G1010" s="259"/>
      <c r="H1010" s="263" t="s">
        <v>1506</v>
      </c>
      <c r="I1010" s="263"/>
      <c r="J1010" s="263"/>
      <c r="K1010" s="263"/>
    </row>
    <row r="1011" spans="1:11" ht="27.75" customHeight="1">
      <c r="A1011" s="264" t="s">
        <v>688</v>
      </c>
      <c r="B1011" s="265" t="s">
        <v>1507</v>
      </c>
      <c r="C1011" s="265"/>
      <c r="D1011" s="265"/>
      <c r="E1011" s="265"/>
      <c r="F1011" s="265"/>
      <c r="G1011" s="265"/>
      <c r="H1011" s="265"/>
      <c r="I1011" s="265"/>
      <c r="J1011" s="265"/>
      <c r="K1011" s="265"/>
    </row>
    <row r="1012" spans="1:12" ht="18.75" customHeight="1">
      <c r="A1012" s="266" t="s">
        <v>28</v>
      </c>
      <c r="B1012" s="266" t="s">
        <v>690</v>
      </c>
      <c r="C1012" s="266" t="s">
        <v>650</v>
      </c>
      <c r="D1012" s="266"/>
      <c r="E1012" s="266"/>
      <c r="F1012" s="266"/>
      <c r="G1012" s="266" t="s">
        <v>651</v>
      </c>
      <c r="H1012" s="266"/>
      <c r="I1012" s="266" t="s">
        <v>691</v>
      </c>
      <c r="J1012" s="266" t="s">
        <v>692</v>
      </c>
      <c r="K1012" s="266" t="s">
        <v>693</v>
      </c>
    </row>
    <row r="1013" spans="1:12" ht="18.75" customHeight="1">
      <c r="A1013" s="266" t="s">
        <v>31</v>
      </c>
      <c r="B1013" s="267" t="s">
        <v>694</v>
      </c>
      <c r="C1013" s="267"/>
      <c r="D1013" s="267"/>
      <c r="E1013" s="267"/>
      <c r="F1013" s="267"/>
      <c r="G1013" s="266" t="s">
        <v>695</v>
      </c>
      <c r="H1013" s="266"/>
      <c r="I1013" s="268"/>
      <c r="J1013" s="268"/>
      <c r="K1013" s="380">
        <f>K1014+K1016+K1022+K1024+K1025</f>
        <v>0</v>
      </c>
    </row>
    <row r="1014" spans="1:12" ht="18.75" customHeight="1">
      <c r="A1014" s="266" t="s">
        <v>76</v>
      </c>
      <c r="B1014" s="267" t="s">
        <v>353</v>
      </c>
      <c r="C1014" s="267"/>
      <c r="D1014" s="267"/>
      <c r="E1014" s="267"/>
      <c r="F1014" s="267"/>
      <c r="G1014" s="266" t="s">
        <v>695</v>
      </c>
      <c r="H1014" s="266"/>
      <c r="I1014" s="268"/>
      <c r="J1014" s="268"/>
      <c r="K1014" s="380">
        <f>SUM(K1015:K1015)</f>
        <v>0</v>
      </c>
    </row>
    <row r="1015" spans="1:12" ht="18.75" customHeight="1">
      <c r="A1015" s="266"/>
      <c r="B1015" s="267" t="s">
        <v>698</v>
      </c>
      <c r="C1015" s="267"/>
      <c r="D1015" s="267"/>
      <c r="E1015" s="267"/>
      <c r="F1015" s="267"/>
      <c r="G1015" s="266" t="s">
        <v>699</v>
      </c>
      <c r="H1015" s="266"/>
      <c r="I1015" s="268">
        <f>ROUND(96.479,3)</f>
        <v>0</v>
      </c>
      <c r="J1015" s="380">
        <v>3.46</v>
      </c>
      <c r="K1015" s="380">
        <f>ROUND(I1015*J1015,2)</f>
        <v>0</v>
      </c>
    </row>
    <row r="1016" spans="1:12" ht="18.75" customHeight="1">
      <c r="A1016" s="266" t="s">
        <v>152</v>
      </c>
      <c r="B1016" s="267" t="s">
        <v>354</v>
      </c>
      <c r="C1016" s="267"/>
      <c r="D1016" s="267"/>
      <c r="E1016" s="267"/>
      <c r="F1016" s="267"/>
      <c r="G1016" s="266" t="s">
        <v>695</v>
      </c>
      <c r="H1016" s="266"/>
      <c r="I1016" s="268"/>
      <c r="J1016" s="268"/>
      <c r="K1016" s="380">
        <f>SUM(K1017:K1021)</f>
        <v>0</v>
      </c>
    </row>
    <row r="1017" spans="1:12" ht="18.75" customHeight="1">
      <c r="A1017" s="266"/>
      <c r="B1017" s="267" t="s">
        <v>677</v>
      </c>
      <c r="C1017" s="267"/>
      <c r="D1017" s="267"/>
      <c r="E1017" s="267"/>
      <c r="F1017" s="267"/>
      <c r="G1017" s="266" t="s">
        <v>81</v>
      </c>
      <c r="H1017" s="266"/>
      <c r="I1017" s="268">
        <f>ROUND(0.04,3)</f>
        <v>0</v>
      </c>
      <c r="J1017" s="380">
        <v>800</v>
      </c>
      <c r="K1017" s="380">
        <f>ROUND(I1017*J1017,2)</f>
        <v>0</v>
      </c>
    </row>
    <row r="1018" spans="1:12" ht="18.75" customHeight="1">
      <c r="A1018" s="266"/>
      <c r="B1018" s="267" t="s">
        <v>1514</v>
      </c>
      <c r="C1018" s="267"/>
      <c r="D1018" s="267"/>
      <c r="E1018" s="267"/>
      <c r="F1018" s="267"/>
      <c r="G1018" s="266" t="s">
        <v>1487</v>
      </c>
      <c r="H1018" s="266"/>
      <c r="I1018" s="268">
        <f>ROUND(2.5,3)</f>
        <v>0</v>
      </c>
      <c r="J1018" s="380">
        <v>1</v>
      </c>
      <c r="K1018" s="380">
        <f>ROUND(I1018*J1018,2)</f>
        <v>0</v>
      </c>
    </row>
    <row r="1019" spans="1:12" ht="18.75" customHeight="1">
      <c r="A1019" s="266"/>
      <c r="B1019" s="267" t="s">
        <v>1518</v>
      </c>
      <c r="C1019" s="267"/>
      <c r="D1019" s="267"/>
      <c r="E1019" s="267"/>
      <c r="F1019" s="267"/>
      <c r="G1019" s="266" t="s">
        <v>656</v>
      </c>
      <c r="H1019" s="266"/>
      <c r="I1019" s="268">
        <f>ROUND(3.93,3)</f>
        <v>0</v>
      </c>
      <c r="J1019" s="380">
        <v>3.93</v>
      </c>
      <c r="K1019" s="380">
        <f>ROUND(I1019*J1019,2)</f>
        <v>0</v>
      </c>
    </row>
    <row r="1020" spans="1:12" ht="18.75" customHeight="1">
      <c r="A1020" s="266"/>
      <c r="B1020" s="267" t="s">
        <v>1521</v>
      </c>
      <c r="C1020" s="267"/>
      <c r="D1020" s="267"/>
      <c r="E1020" s="267"/>
      <c r="F1020" s="267"/>
      <c r="G1020" s="266" t="s">
        <v>1522</v>
      </c>
      <c r="H1020" s="266"/>
      <c r="I1020" s="268">
        <f>ROUND(4.5,3)</f>
        <v>0</v>
      </c>
      <c r="J1020" s="380">
        <v>1.28</v>
      </c>
      <c r="K1020" s="380">
        <f>ROUND(I1020*J1020,2)</f>
        <v>0</v>
      </c>
    </row>
    <row r="1021" spans="1:12" ht="18.75" customHeight="1">
      <c r="A1021" s="266"/>
      <c r="B1021" s="267" t="s">
        <v>828</v>
      </c>
      <c r="C1021" s="267"/>
      <c r="D1021" s="267"/>
      <c r="E1021" s="267"/>
      <c r="F1021" s="267"/>
      <c r="G1021" s="266" t="s">
        <v>334</v>
      </c>
      <c r="H1021" s="266"/>
      <c r="I1021" s="268">
        <f>ROUND(2,3)</f>
        <v>0</v>
      </c>
      <c r="J1021" s="380">
        <f>K1017+K1018+K1019+K1020</f>
        <v>0</v>
      </c>
      <c r="K1021" s="380">
        <f>ROUND(I1021*J1021/100,2)</f>
        <v>0</v>
      </c>
    </row>
    <row r="1022" spans="1:12" ht="18.75" customHeight="1">
      <c r="A1022" s="266" t="s">
        <v>704</v>
      </c>
      <c r="B1022" s="267" t="s">
        <v>705</v>
      </c>
      <c r="C1022" s="267"/>
      <c r="D1022" s="267"/>
      <c r="E1022" s="267"/>
      <c r="F1022" s="267"/>
      <c r="G1022" s="266" t="s">
        <v>695</v>
      </c>
      <c r="H1022" s="266"/>
      <c r="I1022" s="268"/>
      <c r="J1022" s="268"/>
      <c r="K1022" s="380">
        <f>SUM(K1023:K1023)</f>
        <v>0</v>
      </c>
    </row>
    <row r="1023" spans="1:12" ht="18.75" customHeight="1">
      <c r="A1023" s="266"/>
      <c r="B1023" s="267" t="s">
        <v>1528</v>
      </c>
      <c r="C1023" s="267" t="s">
        <v>1529</v>
      </c>
      <c r="D1023" s="267"/>
      <c r="E1023" s="267"/>
      <c r="F1023" s="267"/>
      <c r="G1023" s="266" t="s">
        <v>709</v>
      </c>
      <c r="H1023" s="266"/>
      <c r="I1023" s="268">
        <f>ROUND(7.458,3)</f>
        <v>0</v>
      </c>
      <c r="J1023" s="380">
        <v>81.57</v>
      </c>
      <c r="K1023" s="380">
        <f>ROUND(I1023*J1023,2)</f>
        <v>0</v>
      </c>
    </row>
    <row r="1024" spans="1:12" ht="18.75" customHeight="1">
      <c r="A1024" s="266" t="s">
        <v>721</v>
      </c>
      <c r="B1024" s="267" t="s">
        <v>722</v>
      </c>
      <c r="C1024" s="267"/>
      <c r="D1024" s="267"/>
      <c r="E1024" s="267"/>
      <c r="F1024" s="267"/>
      <c r="G1024" s="266" t="s">
        <v>695</v>
      </c>
      <c r="H1024" s="266"/>
      <c r="I1024" s="268">
        <f>3.5&amp;"%"</f>
        <v>0</v>
      </c>
      <c r="J1024" s="380">
        <f>K1014+K1016+K1022</f>
        <v>0</v>
      </c>
      <c r="K1024" s="380">
        <f>ROUND(I1024*J1024,2)</f>
        <v>0</v>
      </c>
    </row>
    <row r="1025" spans="1:12" ht="18.75" customHeight="1">
      <c r="A1025" s="266" t="s">
        <v>348</v>
      </c>
      <c r="B1025" s="267" t="s">
        <v>726</v>
      </c>
      <c r="C1025" s="267"/>
      <c r="D1025" s="267"/>
      <c r="E1025" s="267"/>
      <c r="F1025" s="267"/>
      <c r="G1025" s="266" t="s">
        <v>695</v>
      </c>
      <c r="H1025" s="266"/>
      <c r="I1025" s="268">
        <f>4&amp;"%"</f>
        <v>0</v>
      </c>
      <c r="J1025" s="380">
        <f>K1014+K1016+K1022</f>
        <v>0</v>
      </c>
      <c r="K1025" s="380">
        <f>ROUND(I1025*J1025,2)</f>
        <v>0</v>
      </c>
    </row>
    <row r="1026" spans="1:12" ht="18.75" customHeight="1">
      <c r="A1026" s="266" t="s">
        <v>34</v>
      </c>
      <c r="B1026" s="267" t="s">
        <v>729</v>
      </c>
      <c r="C1026" s="267"/>
      <c r="D1026" s="267"/>
      <c r="E1026" s="267"/>
      <c r="F1026" s="267"/>
      <c r="G1026" s="266" t="s">
        <v>695</v>
      </c>
      <c r="H1026" s="266"/>
      <c r="I1026" s="268">
        <f>3.7&amp;"%"</f>
        <v>0</v>
      </c>
      <c r="J1026" s="380">
        <f>K1013</f>
        <v>0</v>
      </c>
      <c r="K1026" s="380">
        <f>ROUND(I1026*J1026,2)</f>
        <v>0</v>
      </c>
    </row>
    <row r="1027" spans="1:12" ht="18.75" customHeight="1">
      <c r="A1027" s="266" t="s">
        <v>37</v>
      </c>
      <c r="B1027" s="267" t="s">
        <v>732</v>
      </c>
      <c r="C1027" s="267"/>
      <c r="D1027" s="267"/>
      <c r="E1027" s="267"/>
      <c r="F1027" s="267"/>
      <c r="G1027" s="266" t="s">
        <v>695</v>
      </c>
      <c r="H1027" s="266"/>
      <c r="I1027" s="268">
        <f>32.8&amp;"%"</f>
        <v>0</v>
      </c>
      <c r="J1027" s="380">
        <f>K1014+ROUND(I1023*3.9*3.46,2)</f>
        <v>0</v>
      </c>
      <c r="K1027" s="380">
        <f>ROUND(I1027*J1027,2)</f>
        <v>0</v>
      </c>
    </row>
    <row r="1028" spans="1:12" ht="18.75" customHeight="1">
      <c r="A1028" s="266" t="s">
        <v>40</v>
      </c>
      <c r="B1028" s="267" t="s">
        <v>736</v>
      </c>
      <c r="C1028" s="267"/>
      <c r="D1028" s="267"/>
      <c r="E1028" s="267"/>
      <c r="F1028" s="267"/>
      <c r="G1028" s="266" t="s">
        <v>695</v>
      </c>
      <c r="H1028" s="266"/>
      <c r="I1028" s="268">
        <f>7&amp;"%"</f>
        <v>0</v>
      </c>
      <c r="J1028" s="380">
        <f>K1013+K1026+K1027</f>
        <v>0</v>
      </c>
      <c r="K1028" s="380">
        <f>ROUND(I1028*J1028,2)</f>
        <v>0</v>
      </c>
    </row>
    <row r="1029" spans="1:12" ht="18.75" customHeight="1">
      <c r="A1029" s="266" t="s">
        <v>43</v>
      </c>
      <c r="B1029" s="267" t="s">
        <v>361</v>
      </c>
      <c r="C1029" s="267"/>
      <c r="D1029" s="267"/>
      <c r="E1029" s="267"/>
      <c r="F1029" s="267"/>
      <c r="G1029" s="266" t="s">
        <v>695</v>
      </c>
      <c r="H1029" s="266"/>
      <c r="I1029" s="268"/>
      <c r="J1029" s="268"/>
      <c r="K1029" s="380">
        <f>SUM(K1030:K1033)</f>
        <v>0</v>
      </c>
    </row>
    <row r="1030" spans="1:12" ht="18.75" customHeight="1">
      <c r="A1030" s="266"/>
      <c r="B1030" s="267" t="s">
        <v>698</v>
      </c>
      <c r="C1030" s="267"/>
      <c r="D1030" s="267"/>
      <c r="E1030" s="267"/>
      <c r="F1030" s="267"/>
      <c r="G1030" s="266" t="s">
        <v>699</v>
      </c>
      <c r="H1030" s="266"/>
      <c r="I1030" s="268">
        <f>ROUND(I1015,3)</f>
        <v>0</v>
      </c>
      <c r="J1030" s="380">
        <v>4</v>
      </c>
      <c r="K1030" s="380">
        <f>ROUND(I1030*J1030,2)</f>
        <v>0</v>
      </c>
    </row>
    <row r="1031" spans="1:12" ht="18.75" customHeight="1">
      <c r="A1031" s="266"/>
      <c r="B1031" s="267" t="s">
        <v>741</v>
      </c>
      <c r="C1031" s="267"/>
      <c r="D1031" s="267"/>
      <c r="E1031" s="267"/>
      <c r="F1031" s="267"/>
      <c r="G1031" s="266" t="s">
        <v>699</v>
      </c>
      <c r="H1031" s="266"/>
      <c r="I1031" s="268">
        <f>ROUND(I1023*3.9,3)</f>
        <v>0</v>
      </c>
      <c r="J1031" s="380">
        <v>4</v>
      </c>
      <c r="K1031" s="380">
        <f>ROUND(I1031*J1031,2)</f>
        <v>0</v>
      </c>
    </row>
    <row r="1032" spans="1:12" ht="18.75" customHeight="1">
      <c r="A1032" s="266"/>
      <c r="B1032" s="267" t="s">
        <v>663</v>
      </c>
      <c r="C1032" s="267" t="s">
        <v>664</v>
      </c>
      <c r="D1032" s="267"/>
      <c r="E1032" s="267"/>
      <c r="F1032" s="267"/>
      <c r="G1032" s="266" t="s">
        <v>656</v>
      </c>
      <c r="H1032" s="266"/>
      <c r="I1032" s="268">
        <f>ROUND(I1023*4,3)</f>
        <v>0</v>
      </c>
      <c r="J1032" s="380">
        <v>2.56</v>
      </c>
      <c r="K1032" s="380">
        <f>ROUND(I1032*J1032,2)</f>
        <v>0</v>
      </c>
    </row>
    <row r="1033" spans="1:12" ht="18.75" customHeight="1">
      <c r="A1033" s="266"/>
      <c r="B1033" s="267" t="s">
        <v>677</v>
      </c>
      <c r="C1033" s="267"/>
      <c r="D1033" s="267"/>
      <c r="E1033" s="267"/>
      <c r="F1033" s="267"/>
      <c r="G1033" s="266" t="s">
        <v>81</v>
      </c>
      <c r="H1033" s="266"/>
      <c r="I1033" s="268">
        <f>ROUND(I1017,3)</f>
        <v>0</v>
      </c>
      <c r="J1033" s="380">
        <v>527.43</v>
      </c>
      <c r="K1033" s="380">
        <f>ROUND(I1033*J1033,2)</f>
        <v>0</v>
      </c>
    </row>
    <row r="1034" spans="1:12" ht="18.75" customHeight="1">
      <c r="A1034" s="266" t="s">
        <v>46</v>
      </c>
      <c r="B1034" s="267" t="s">
        <v>362</v>
      </c>
      <c r="C1034" s="267"/>
      <c r="D1034" s="267"/>
      <c r="E1034" s="267"/>
      <c r="F1034" s="267"/>
      <c r="G1034" s="266" t="s">
        <v>695</v>
      </c>
      <c r="H1034" s="266"/>
      <c r="I1034" s="268">
        <f>0&amp;"%"</f>
        <v>0</v>
      </c>
      <c r="J1034" s="380">
        <f>K1013+K1026+K1027+K1028+K1029</f>
        <v>0</v>
      </c>
      <c r="K1034" s="380">
        <f>ROUND(I1034*J1034,2)</f>
        <v>0</v>
      </c>
    </row>
    <row r="1035" spans="1:12" ht="18.75" customHeight="1">
      <c r="A1035" s="266" t="s">
        <v>49</v>
      </c>
      <c r="B1035" s="267" t="s">
        <v>363</v>
      </c>
      <c r="C1035" s="267"/>
      <c r="D1035" s="267"/>
      <c r="E1035" s="267"/>
      <c r="F1035" s="267"/>
      <c r="G1035" s="266" t="s">
        <v>695</v>
      </c>
      <c r="H1035" s="266"/>
      <c r="I1035" s="268">
        <f>9&amp;"%"</f>
        <v>0</v>
      </c>
      <c r="J1035" s="380">
        <f>K1013+K1026+K1027+K1028+K1029+K1034</f>
        <v>0</v>
      </c>
      <c r="K1035" s="380">
        <f>ROUND(I1035*J1035,2)</f>
        <v>0</v>
      </c>
    </row>
    <row r="1036" spans="1:12" ht="18.75" customHeight="1">
      <c r="A1036" s="266"/>
      <c r="B1036" s="267" t="s">
        <v>64</v>
      </c>
      <c r="C1036" s="267"/>
      <c r="D1036" s="267"/>
      <c r="E1036" s="267"/>
      <c r="F1036" s="267"/>
      <c r="G1036" s="266" t="s">
        <v>695</v>
      </c>
      <c r="H1036" s="266"/>
      <c r="I1036" s="268"/>
      <c r="J1036" s="268"/>
      <c r="K1036" s="380">
        <f>K1013+K1026+K1027+K1028+K1029+K1034+K1035</f>
        <v>0</v>
      </c>
    </row>
    <row r="1037" spans="1:12" ht="18.75" customHeight="1">
      <c r="A1037" s="266"/>
      <c r="B1037" s="267" t="s">
        <v>752</v>
      </c>
      <c r="C1037" s="267"/>
      <c r="D1037" s="267"/>
      <c r="E1037" s="267"/>
      <c r="F1037" s="267"/>
      <c r="G1037" s="266" t="s">
        <v>695</v>
      </c>
      <c r="H1037" s="266"/>
      <c r="I1037" s="268"/>
      <c r="J1037" s="268"/>
      <c r="K1037" s="380">
        <f>ROUND(K1036/10,2)</f>
        <v>0</v>
      </c>
    </row>
    <row r="1038" spans="1:11" ht="18.75" customHeight="1">
      <c r="A1038" s="266"/>
      <c r="B1038" s="267"/>
      <c r="C1038" s="267"/>
      <c r="D1038" s="267"/>
      <c r="E1038" s="267"/>
      <c r="F1038" s="267"/>
      <c r="G1038" s="266"/>
      <c r="H1038" s="266"/>
      <c r="I1038" s="268"/>
      <c r="J1038" s="268"/>
      <c r="K1038" s="268"/>
    </row>
    <row r="1039" spans="1:11" ht="18.75" customHeight="1">
      <c r="A1039" s="266"/>
      <c r="B1039" s="267"/>
      <c r="C1039" s="267"/>
      <c r="D1039" s="267"/>
      <c r="E1039" s="267"/>
      <c r="F1039" s="267"/>
      <c r="G1039" s="266"/>
      <c r="H1039" s="266"/>
      <c r="I1039" s="268"/>
      <c r="J1039" s="268"/>
      <c r="K1039" s="268"/>
    </row>
    <row r="1040" spans="1:11" ht="18.75" customHeight="1">
      <c r="A1040" s="266"/>
      <c r="B1040" s="267"/>
      <c r="C1040" s="267"/>
      <c r="D1040" s="267"/>
      <c r="E1040" s="267"/>
      <c r="F1040" s="267"/>
      <c r="G1040" s="266"/>
      <c r="H1040" s="266"/>
      <c r="I1040" s="268"/>
      <c r="J1040" s="268"/>
      <c r="K1040" s="268"/>
    </row>
    <row r="1041" spans="1:11" ht="18.75" customHeight="1">
      <c r="A1041" s="266"/>
      <c r="B1041" s="267"/>
      <c r="C1041" s="267"/>
      <c r="D1041" s="267"/>
      <c r="E1041" s="267"/>
      <c r="F1041" s="267"/>
      <c r="G1041" s="266"/>
      <c r="H1041" s="266"/>
      <c r="I1041" s="268"/>
      <c r="J1041" s="268"/>
      <c r="K1041" s="268"/>
    </row>
    <row r="1042" spans="1:11" ht="18.75" customHeight="1">
      <c r="A1042" s="266"/>
      <c r="B1042" s="267"/>
      <c r="C1042" s="267"/>
      <c r="D1042" s="267"/>
      <c r="E1042" s="267"/>
      <c r="F1042" s="267"/>
      <c r="G1042" s="266"/>
      <c r="H1042" s="266"/>
      <c r="I1042" s="268"/>
      <c r="J1042" s="268"/>
      <c r="K1042" s="268"/>
    </row>
    <row r="1043" spans="1:11" ht="18.75" customHeight="1">
      <c r="A1043" s="266"/>
      <c r="B1043" s="267"/>
      <c r="C1043" s="267"/>
      <c r="D1043" s="267"/>
      <c r="E1043" s="267"/>
      <c r="F1043" s="267"/>
      <c r="G1043" s="266"/>
      <c r="H1043" s="266"/>
      <c r="I1043" s="268"/>
      <c r="J1043" s="268"/>
      <c r="K1043" s="268"/>
    </row>
    <row r="1044" spans="1:11" ht="7.5" customHeight="1">
      <c r="A1044" s="259"/>
      <c r="B1044" s="259"/>
      <c r="C1044" s="259"/>
      <c r="D1044" s="259"/>
      <c r="E1044" s="259"/>
      <c r="F1044" s="259"/>
      <c r="G1044" s="259"/>
      <c r="H1044" s="259"/>
      <c r="I1044" s="259"/>
      <c r="J1044" s="259"/>
      <c r="K1044" s="259"/>
    </row>
    <row r="1045" spans="1:11" ht="26.25" customHeight="1">
      <c r="A1045" s="260" t="s">
        <v>684</v>
      </c>
      <c r="B1045" s="260"/>
      <c r="C1045" s="260"/>
      <c r="D1045" s="260"/>
      <c r="E1045" s="260"/>
      <c r="F1045" s="260"/>
      <c r="G1045" s="260"/>
      <c r="H1045" s="260"/>
      <c r="I1045" s="260"/>
      <c r="J1045" s="260"/>
      <c r="K1045" s="260"/>
    </row>
    <row r="1046" spans="1:11" ht="18.75" customHeight="1">
      <c r="A1046" s="261" t="s">
        <v>1550</v>
      </c>
      <c r="B1046" s="261"/>
      <c r="C1046" s="261"/>
      <c r="D1046" s="261"/>
      <c r="E1046" s="261"/>
      <c r="F1046" s="261"/>
      <c r="G1046" s="261"/>
      <c r="H1046" s="261"/>
      <c r="I1046" s="261"/>
      <c r="J1046" s="261"/>
      <c r="K1046" s="261"/>
    </row>
    <row r="1047" spans="1:11" ht="18.75" customHeight="1">
      <c r="A1047" s="262" t="s">
        <v>686</v>
      </c>
      <c r="B1047" s="259" t="s">
        <v>1551</v>
      </c>
      <c r="C1047" s="259"/>
      <c r="D1047" s="259"/>
      <c r="E1047" s="259"/>
      <c r="F1047" s="259"/>
      <c r="G1047" s="259"/>
      <c r="H1047" s="263" t="s">
        <v>1552</v>
      </c>
      <c r="I1047" s="263"/>
      <c r="J1047" s="263"/>
      <c r="K1047" s="263"/>
    </row>
    <row r="1048" spans="1:11" ht="27.75" customHeight="1">
      <c r="A1048" s="264" t="s">
        <v>688</v>
      </c>
      <c r="B1048" s="265" t="s">
        <v>1553</v>
      </c>
      <c r="C1048" s="265"/>
      <c r="D1048" s="265"/>
      <c r="E1048" s="265"/>
      <c r="F1048" s="265"/>
      <c r="G1048" s="265"/>
      <c r="H1048" s="265"/>
      <c r="I1048" s="265"/>
      <c r="J1048" s="265"/>
      <c r="K1048" s="265"/>
    </row>
    <row r="1049" spans="1:12" ht="18.75" customHeight="1">
      <c r="A1049" s="266" t="s">
        <v>28</v>
      </c>
      <c r="B1049" s="266" t="s">
        <v>690</v>
      </c>
      <c r="C1049" s="266" t="s">
        <v>650</v>
      </c>
      <c r="D1049" s="266"/>
      <c r="E1049" s="266"/>
      <c r="F1049" s="266"/>
      <c r="G1049" s="266" t="s">
        <v>651</v>
      </c>
      <c r="H1049" s="266"/>
      <c r="I1049" s="266" t="s">
        <v>691</v>
      </c>
      <c r="J1049" s="266" t="s">
        <v>692</v>
      </c>
      <c r="K1049" s="266" t="s">
        <v>693</v>
      </c>
    </row>
    <row r="1050" spans="1:12" ht="18.75" customHeight="1">
      <c r="A1050" s="266" t="s">
        <v>31</v>
      </c>
      <c r="B1050" s="267" t="s">
        <v>694</v>
      </c>
      <c r="C1050" s="267"/>
      <c r="D1050" s="267"/>
      <c r="E1050" s="267"/>
      <c r="F1050" s="267"/>
      <c r="G1050" s="266" t="s">
        <v>695</v>
      </c>
      <c r="H1050" s="266"/>
      <c r="I1050" s="268"/>
      <c r="J1050" s="268"/>
      <c r="K1050" s="380">
        <f>K1051+K1053+K1056+K1061+K1062</f>
        <v>0</v>
      </c>
    </row>
    <row r="1051" spans="1:12" ht="18.75" customHeight="1">
      <c r="A1051" s="266" t="s">
        <v>76</v>
      </c>
      <c r="B1051" s="267" t="s">
        <v>353</v>
      </c>
      <c r="C1051" s="267"/>
      <c r="D1051" s="267"/>
      <c r="E1051" s="267"/>
      <c r="F1051" s="267"/>
      <c r="G1051" s="266" t="s">
        <v>695</v>
      </c>
      <c r="H1051" s="266"/>
      <c r="I1051" s="268"/>
      <c r="J1051" s="268"/>
      <c r="K1051" s="380">
        <f>SUM(K1052:K1052)</f>
        <v>0</v>
      </c>
    </row>
    <row r="1052" spans="1:12" ht="18.75" customHeight="1">
      <c r="A1052" s="266"/>
      <c r="B1052" s="267" t="s">
        <v>698</v>
      </c>
      <c r="C1052" s="267"/>
      <c r="D1052" s="267"/>
      <c r="E1052" s="267"/>
      <c r="F1052" s="267"/>
      <c r="G1052" s="266" t="s">
        <v>699</v>
      </c>
      <c r="H1052" s="266"/>
      <c r="I1052" s="268">
        <f>ROUND(426,3)</f>
        <v>0</v>
      </c>
      <c r="J1052" s="380">
        <v>3.46</v>
      </c>
      <c r="K1052" s="380">
        <f>ROUND(I1052*J1052,2)</f>
        <v>0</v>
      </c>
    </row>
    <row r="1053" spans="1:12" ht="18.75" customHeight="1">
      <c r="A1053" s="266" t="s">
        <v>152</v>
      </c>
      <c r="B1053" s="267" t="s">
        <v>354</v>
      </c>
      <c r="C1053" s="267"/>
      <c r="D1053" s="267"/>
      <c r="E1053" s="267"/>
      <c r="F1053" s="267"/>
      <c r="G1053" s="266" t="s">
        <v>695</v>
      </c>
      <c r="H1053" s="266"/>
      <c r="I1053" s="268"/>
      <c r="J1053" s="268"/>
      <c r="K1053" s="380">
        <f>SUM(K1054:K1055)</f>
        <v>0</v>
      </c>
    </row>
    <row r="1054" spans="1:12" ht="18.75" customHeight="1">
      <c r="A1054" s="266"/>
      <c r="B1054" s="267" t="s">
        <v>1558</v>
      </c>
      <c r="C1054" s="267"/>
      <c r="D1054" s="267"/>
      <c r="E1054" s="267"/>
      <c r="F1054" s="267"/>
      <c r="G1054" s="266" t="s">
        <v>656</v>
      </c>
      <c r="H1054" s="266"/>
      <c r="I1054" s="268">
        <f>ROUND(2.28,3)</f>
        <v>0</v>
      </c>
      <c r="J1054" s="380">
        <v>3</v>
      </c>
      <c r="K1054" s="380">
        <f>ROUND(I1054*J1054,2)</f>
        <v>0</v>
      </c>
    </row>
    <row r="1055" spans="1:12" ht="18.75" customHeight="1">
      <c r="A1055" s="266"/>
      <c r="B1055" s="267" t="s">
        <v>828</v>
      </c>
      <c r="C1055" s="267"/>
      <c r="D1055" s="267"/>
      <c r="E1055" s="267"/>
      <c r="F1055" s="267"/>
      <c r="G1055" s="266" t="s">
        <v>334</v>
      </c>
      <c r="H1055" s="266"/>
      <c r="I1055" s="268">
        <f>ROUND(10,3)</f>
        <v>0</v>
      </c>
      <c r="J1055" s="380">
        <f>K1054</f>
        <v>0</v>
      </c>
      <c r="K1055" s="380">
        <f>ROUND(I1055*J1055/100,2)</f>
        <v>0</v>
      </c>
    </row>
    <row r="1056" spans="1:12" ht="18.75" customHeight="1">
      <c r="A1056" s="266" t="s">
        <v>704</v>
      </c>
      <c r="B1056" s="267" t="s">
        <v>705</v>
      </c>
      <c r="C1056" s="267"/>
      <c r="D1056" s="267"/>
      <c r="E1056" s="267"/>
      <c r="F1056" s="267"/>
      <c r="G1056" s="266" t="s">
        <v>695</v>
      </c>
      <c r="H1056" s="266"/>
      <c r="I1056" s="268"/>
      <c r="J1056" s="268"/>
      <c r="K1056" s="380">
        <f>SUM(K1057:K1060)</f>
        <v>0</v>
      </c>
    </row>
    <row r="1057" spans="1:12" ht="18.75" customHeight="1">
      <c r="A1057" s="266"/>
      <c r="B1057" s="267" t="s">
        <v>1303</v>
      </c>
      <c r="C1057" s="267" t="s">
        <v>1304</v>
      </c>
      <c r="D1057" s="267"/>
      <c r="E1057" s="267"/>
      <c r="F1057" s="267"/>
      <c r="G1057" s="266" t="s">
        <v>709</v>
      </c>
      <c r="H1057" s="266"/>
      <c r="I1057" s="268">
        <f>ROUND(5.88,3)</f>
        <v>0</v>
      </c>
      <c r="J1057" s="380">
        <v>49.56</v>
      </c>
      <c r="K1057" s="380">
        <f>ROUND(I1057*J1057,2)</f>
        <v>0</v>
      </c>
    </row>
    <row r="1058" spans="1:12" ht="18.75" customHeight="1">
      <c r="A1058" s="266"/>
      <c r="B1058" s="267" t="s">
        <v>1564</v>
      </c>
      <c r="C1058" s="267" t="s">
        <v>1565</v>
      </c>
      <c r="D1058" s="267"/>
      <c r="E1058" s="267"/>
      <c r="F1058" s="267"/>
      <c r="G1058" s="266" t="s">
        <v>709</v>
      </c>
      <c r="H1058" s="266"/>
      <c r="I1058" s="268">
        <f>ROUND(4.2,3)</f>
        <v>0</v>
      </c>
      <c r="J1058" s="380">
        <v>20.39</v>
      </c>
      <c r="K1058" s="380">
        <f>ROUND(I1058*J1058,2)</f>
        <v>0</v>
      </c>
    </row>
    <row r="1059" spans="1:12" ht="18.75" customHeight="1">
      <c r="A1059" s="266"/>
      <c r="B1059" s="267" t="s">
        <v>1568</v>
      </c>
      <c r="C1059" s="267" t="s">
        <v>1569</v>
      </c>
      <c r="D1059" s="267"/>
      <c r="E1059" s="267"/>
      <c r="F1059" s="267"/>
      <c r="G1059" s="266" t="s">
        <v>709</v>
      </c>
      <c r="H1059" s="266"/>
      <c r="I1059" s="268">
        <f>ROUND(1.26,3)</f>
        <v>0</v>
      </c>
      <c r="J1059" s="380">
        <v>6.76</v>
      </c>
      <c r="K1059" s="380">
        <f>ROUND(I1059*J1059,2)</f>
        <v>0</v>
      </c>
    </row>
    <row r="1060" spans="1:12" ht="18.75" customHeight="1">
      <c r="A1060" s="266"/>
      <c r="B1060" s="267" t="s">
        <v>883</v>
      </c>
      <c r="C1060" s="267"/>
      <c r="D1060" s="267"/>
      <c r="E1060" s="267"/>
      <c r="F1060" s="267"/>
      <c r="G1060" s="266" t="s">
        <v>334</v>
      </c>
      <c r="H1060" s="266"/>
      <c r="I1060" s="268">
        <f>ROUND(8,3)</f>
        <v>0</v>
      </c>
      <c r="J1060" s="380">
        <f>K1057+K1058+K1059</f>
        <v>0</v>
      </c>
      <c r="K1060" s="380">
        <f>ROUND(I1060*J1060/100,2)</f>
        <v>0</v>
      </c>
    </row>
    <row r="1061" spans="1:12" ht="18.75" customHeight="1">
      <c r="A1061" s="266" t="s">
        <v>721</v>
      </c>
      <c r="B1061" s="267" t="s">
        <v>722</v>
      </c>
      <c r="C1061" s="267"/>
      <c r="D1061" s="267"/>
      <c r="E1061" s="267"/>
      <c r="F1061" s="267"/>
      <c r="G1061" s="266" t="s">
        <v>695</v>
      </c>
      <c r="H1061" s="266"/>
      <c r="I1061" s="268">
        <f>3.7&amp;"%"</f>
        <v>0</v>
      </c>
      <c r="J1061" s="380">
        <f>K1051+K1053+K1056</f>
        <v>0</v>
      </c>
      <c r="K1061" s="380">
        <f>ROUND(I1061*J1061,2)</f>
        <v>0</v>
      </c>
    </row>
    <row r="1062" spans="1:12" ht="18.75" customHeight="1">
      <c r="A1062" s="266" t="s">
        <v>348</v>
      </c>
      <c r="B1062" s="267" t="s">
        <v>726</v>
      </c>
      <c r="C1062" s="267"/>
      <c r="D1062" s="267"/>
      <c r="E1062" s="267"/>
      <c r="F1062" s="267"/>
      <c r="G1062" s="266" t="s">
        <v>695</v>
      </c>
      <c r="H1062" s="266"/>
      <c r="I1062" s="268">
        <f>45&amp;"%"</f>
        <v>0</v>
      </c>
      <c r="J1062" s="380">
        <f>K1051</f>
        <v>0</v>
      </c>
      <c r="K1062" s="380">
        <f>ROUND(I1062*J1062,2)</f>
        <v>0</v>
      </c>
    </row>
    <row r="1063" spans="1:12" ht="18.75" customHeight="1">
      <c r="A1063" s="266" t="s">
        <v>34</v>
      </c>
      <c r="B1063" s="267" t="s">
        <v>729</v>
      </c>
      <c r="C1063" s="267"/>
      <c r="D1063" s="267"/>
      <c r="E1063" s="267"/>
      <c r="F1063" s="267"/>
      <c r="G1063" s="266" t="s">
        <v>695</v>
      </c>
      <c r="H1063" s="266"/>
      <c r="I1063" s="268">
        <f>47&amp;"%"</f>
        <v>0</v>
      </c>
      <c r="J1063" s="380">
        <f>K1051</f>
        <v>0</v>
      </c>
      <c r="K1063" s="380">
        <f>ROUND(I1063*J1063,2)</f>
        <v>0</v>
      </c>
    </row>
    <row r="1064" spans="1:12" ht="18.75" customHeight="1">
      <c r="A1064" s="266" t="s">
        <v>37</v>
      </c>
      <c r="B1064" s="267" t="s">
        <v>732</v>
      </c>
      <c r="C1064" s="267"/>
      <c r="D1064" s="267"/>
      <c r="E1064" s="267"/>
      <c r="F1064" s="267"/>
      <c r="G1064" s="266" t="s">
        <v>695</v>
      </c>
      <c r="H1064" s="266"/>
      <c r="I1064" s="268">
        <f>32.8&amp;"%"</f>
        <v>0</v>
      </c>
      <c r="J1064" s="380">
        <f>K1051+ROUND(I1057*2.7*3.46,2)+ROUND(I1058*1.3*3.46,2)+ROUND(I1059*1.3*3.46,2)</f>
        <v>0</v>
      </c>
      <c r="K1064" s="380">
        <f>ROUND(I1064*J1064,2)</f>
        <v>0</v>
      </c>
    </row>
    <row r="1065" spans="1:12" ht="18.75" customHeight="1">
      <c r="A1065" s="266" t="s">
        <v>40</v>
      </c>
      <c r="B1065" s="267" t="s">
        <v>736</v>
      </c>
      <c r="C1065" s="267"/>
      <c r="D1065" s="267"/>
      <c r="E1065" s="267"/>
      <c r="F1065" s="267"/>
      <c r="G1065" s="266" t="s">
        <v>695</v>
      </c>
      <c r="H1065" s="266"/>
      <c r="I1065" s="268">
        <f>7&amp;"%"</f>
        <v>0</v>
      </c>
      <c r="J1065" s="380">
        <f>K1050+K1063+K1064</f>
        <v>0</v>
      </c>
      <c r="K1065" s="380">
        <f>ROUND(I1065*J1065,2)</f>
        <v>0</v>
      </c>
    </row>
    <row r="1066" spans="1:12" ht="18.75" customHeight="1">
      <c r="A1066" s="266" t="s">
        <v>43</v>
      </c>
      <c r="B1066" s="267" t="s">
        <v>1584</v>
      </c>
      <c r="C1066" s="267"/>
      <c r="D1066" s="267"/>
      <c r="E1066" s="267"/>
      <c r="F1066" s="267"/>
      <c r="G1066" s="266" t="s">
        <v>695</v>
      </c>
      <c r="H1066" s="266"/>
      <c r="I1066" s="268"/>
      <c r="J1066" s="268"/>
      <c r="K1066" s="380">
        <f>SUM(K1067:K1067)</f>
        <v>0</v>
      </c>
    </row>
    <row r="1067" spans="1:12" ht="18.75" customHeight="1">
      <c r="A1067" s="266"/>
      <c r="B1067" s="267" t="s">
        <v>1586</v>
      </c>
      <c r="C1067" s="267" t="s">
        <v>1587</v>
      </c>
      <c r="D1067" s="267"/>
      <c r="E1067" s="267"/>
      <c r="F1067" s="267"/>
      <c r="G1067" s="266" t="s">
        <v>113</v>
      </c>
      <c r="H1067" s="266"/>
      <c r="I1067" s="268">
        <f>ROUND(100,3)</f>
        <v>0</v>
      </c>
      <c r="J1067" s="380">
        <v>103.45</v>
      </c>
      <c r="K1067" s="380">
        <f>ROUND(I1067*J1067,2)</f>
        <v>0</v>
      </c>
    </row>
    <row r="1068" spans="1:12" ht="18.75" customHeight="1">
      <c r="A1068" s="266" t="s">
        <v>46</v>
      </c>
      <c r="B1068" s="267" t="s">
        <v>361</v>
      </c>
      <c r="C1068" s="267"/>
      <c r="D1068" s="267"/>
      <c r="E1068" s="267"/>
      <c r="F1068" s="267"/>
      <c r="G1068" s="266" t="s">
        <v>695</v>
      </c>
      <c r="H1068" s="266"/>
      <c r="I1068" s="268"/>
      <c r="J1068" s="268"/>
      <c r="K1068" s="380">
        <f>SUM(K1069:K1072)</f>
        <v>0</v>
      </c>
    </row>
    <row r="1069" spans="1:12" ht="18.75" customHeight="1">
      <c r="A1069" s="266"/>
      <c r="B1069" s="267" t="s">
        <v>698</v>
      </c>
      <c r="C1069" s="267"/>
      <c r="D1069" s="267"/>
      <c r="E1069" s="267"/>
      <c r="F1069" s="267"/>
      <c r="G1069" s="266" t="s">
        <v>699</v>
      </c>
      <c r="H1069" s="266"/>
      <c r="I1069" s="268">
        <f>ROUND(I1052,3)</f>
        <v>0</v>
      </c>
      <c r="J1069" s="380">
        <v>4</v>
      </c>
      <c r="K1069" s="380">
        <f>ROUND(I1069*J1069,2)</f>
        <v>0</v>
      </c>
    </row>
    <row r="1070" spans="1:12" ht="18.75" customHeight="1">
      <c r="A1070" s="266"/>
      <c r="B1070" s="267" t="s">
        <v>741</v>
      </c>
      <c r="C1070" s="267"/>
      <c r="D1070" s="267"/>
      <c r="E1070" s="267"/>
      <c r="F1070" s="267"/>
      <c r="G1070" s="266" t="s">
        <v>699</v>
      </c>
      <c r="H1070" s="266"/>
      <c r="I1070" s="268">
        <f>ROUND(I1057*2.7+I1058*1.3+I1059*1.3,3)</f>
        <v>0</v>
      </c>
      <c r="J1070" s="380">
        <v>4</v>
      </c>
      <c r="K1070" s="380">
        <f>ROUND(I1070*J1070,2)</f>
        <v>0</v>
      </c>
    </row>
    <row r="1071" spans="1:12" ht="18.75" customHeight="1">
      <c r="A1071" s="266"/>
      <c r="B1071" s="267" t="s">
        <v>666</v>
      </c>
      <c r="C1071" s="267" t="s">
        <v>667</v>
      </c>
      <c r="D1071" s="267"/>
      <c r="E1071" s="267"/>
      <c r="F1071" s="267"/>
      <c r="G1071" s="266" t="s">
        <v>656</v>
      </c>
      <c r="H1071" s="266"/>
      <c r="I1071" s="268">
        <f>ROUND(I1057*5.8,3)</f>
        <v>0</v>
      </c>
      <c r="J1071" s="380">
        <v>3.71</v>
      </c>
      <c r="K1071" s="380">
        <f>ROUND(I1071*J1071,2)</f>
        <v>0</v>
      </c>
    </row>
    <row r="1072" spans="1:12" ht="18.75" customHeight="1">
      <c r="A1072" s="266"/>
      <c r="B1072" s="267" t="s">
        <v>1558</v>
      </c>
      <c r="C1072" s="267"/>
      <c r="D1072" s="267"/>
      <c r="E1072" s="267"/>
      <c r="F1072" s="267"/>
      <c r="G1072" s="266" t="s">
        <v>656</v>
      </c>
      <c r="H1072" s="266"/>
      <c r="I1072" s="268">
        <f>ROUND(I1054,3)</f>
        <v>0</v>
      </c>
      <c r="J1072" s="380">
        <v>17</v>
      </c>
      <c r="K1072" s="380">
        <f>ROUND(I1072*J1072,2)</f>
        <v>0</v>
      </c>
    </row>
    <row r="1073" spans="1:12" ht="18.75" customHeight="1">
      <c r="A1073" s="266" t="s">
        <v>49</v>
      </c>
      <c r="B1073" s="267" t="s">
        <v>362</v>
      </c>
      <c r="C1073" s="267"/>
      <c r="D1073" s="267"/>
      <c r="E1073" s="267"/>
      <c r="F1073" s="267"/>
      <c r="G1073" s="266" t="s">
        <v>695</v>
      </c>
      <c r="H1073" s="266"/>
      <c r="I1073" s="268">
        <f>0&amp;"%"</f>
        <v>0</v>
      </c>
      <c r="J1073" s="380">
        <f>K1050+K1063+K1064+K1065+K1066+K1068</f>
        <v>0</v>
      </c>
      <c r="K1073" s="380">
        <f>ROUND(I1073*J1073,2)</f>
        <v>0</v>
      </c>
    </row>
    <row r="1074" spans="1:12" ht="18.75" customHeight="1">
      <c r="A1074" s="266" t="s">
        <v>52</v>
      </c>
      <c r="B1074" s="267" t="s">
        <v>363</v>
      </c>
      <c r="C1074" s="267"/>
      <c r="D1074" s="267"/>
      <c r="E1074" s="267"/>
      <c r="F1074" s="267"/>
      <c r="G1074" s="266" t="s">
        <v>695</v>
      </c>
      <c r="H1074" s="266"/>
      <c r="I1074" s="268">
        <f>9&amp;"%"</f>
        <v>0</v>
      </c>
      <c r="J1074" s="380">
        <f>K1050+K1063+K1064+K1065+K1066+K1068+K1073</f>
        <v>0</v>
      </c>
      <c r="K1074" s="380">
        <f>ROUND(I1074*J1074,2)</f>
        <v>0</v>
      </c>
    </row>
    <row r="1075" spans="1:12" ht="18.75" customHeight="1">
      <c r="A1075" s="266"/>
      <c r="B1075" s="267" t="s">
        <v>64</v>
      </c>
      <c r="C1075" s="267"/>
      <c r="D1075" s="267"/>
      <c r="E1075" s="267"/>
      <c r="F1075" s="267"/>
      <c r="G1075" s="266" t="s">
        <v>695</v>
      </c>
      <c r="H1075" s="266"/>
      <c r="I1075" s="268"/>
      <c r="J1075" s="268"/>
      <c r="K1075" s="380">
        <f>K1050+K1063+K1064+K1065+K1066+K1068+K1073+K1074</f>
        <v>0</v>
      </c>
    </row>
    <row r="1076" spans="1:12" ht="18.75" customHeight="1">
      <c r="A1076" s="266"/>
      <c r="B1076" s="267" t="s">
        <v>752</v>
      </c>
      <c r="C1076" s="267"/>
      <c r="D1076" s="267"/>
      <c r="E1076" s="267"/>
      <c r="F1076" s="267"/>
      <c r="G1076" s="266" t="s">
        <v>695</v>
      </c>
      <c r="H1076" s="266"/>
      <c r="I1076" s="268"/>
      <c r="J1076" s="268"/>
      <c r="K1076" s="380">
        <f>ROUND(K1075/100,2)</f>
        <v>0</v>
      </c>
    </row>
    <row r="1077" spans="1:11" ht="18.75" customHeight="1">
      <c r="A1077" s="266"/>
      <c r="B1077" s="267"/>
      <c r="C1077" s="267"/>
      <c r="D1077" s="267"/>
      <c r="E1077" s="267"/>
      <c r="F1077" s="267"/>
      <c r="G1077" s="266"/>
      <c r="H1077" s="266"/>
      <c r="I1077" s="268"/>
      <c r="J1077" s="268"/>
      <c r="K1077" s="268"/>
    </row>
    <row r="1078" spans="1:11" ht="18.75" customHeight="1">
      <c r="A1078" s="266"/>
      <c r="B1078" s="267"/>
      <c r="C1078" s="267"/>
      <c r="D1078" s="267"/>
      <c r="E1078" s="267"/>
      <c r="F1078" s="267"/>
      <c r="G1078" s="266"/>
      <c r="H1078" s="266"/>
      <c r="I1078" s="268"/>
      <c r="J1078" s="268"/>
      <c r="K1078" s="268"/>
    </row>
    <row r="1079" spans="1:11" ht="18.75" customHeight="1">
      <c r="A1079" s="266"/>
      <c r="B1079" s="267"/>
      <c r="C1079" s="267"/>
      <c r="D1079" s="267"/>
      <c r="E1079" s="267"/>
      <c r="F1079" s="267"/>
      <c r="G1079" s="266"/>
      <c r="H1079" s="266"/>
      <c r="I1079" s="268"/>
      <c r="J1079" s="268"/>
      <c r="K1079" s="268"/>
    </row>
    <row r="1080" spans="1:11" ht="18.75" customHeight="1">
      <c r="A1080" s="266"/>
      <c r="B1080" s="267"/>
      <c r="C1080" s="267"/>
      <c r="D1080" s="267"/>
      <c r="E1080" s="267"/>
      <c r="F1080" s="267"/>
      <c r="G1080" s="266"/>
      <c r="H1080" s="266"/>
      <c r="I1080" s="268"/>
      <c r="J1080" s="268"/>
      <c r="K1080" s="268"/>
    </row>
    <row r="1081" spans="1:11" ht="7.5" customHeight="1">
      <c r="A1081" s="259"/>
      <c r="B1081" s="259"/>
      <c r="C1081" s="259"/>
      <c r="D1081" s="259"/>
      <c r="E1081" s="259"/>
      <c r="F1081" s="259"/>
      <c r="G1081" s="259"/>
      <c r="H1081" s="259"/>
      <c r="I1081" s="259"/>
      <c r="J1081" s="259"/>
      <c r="K1081" s="259"/>
    </row>
    <row r="1082" spans="1:11" ht="26.25" customHeight="1">
      <c r="A1082" s="260" t="s">
        <v>684</v>
      </c>
      <c r="B1082" s="260"/>
      <c r="C1082" s="260"/>
      <c r="D1082" s="260"/>
      <c r="E1082" s="260"/>
      <c r="F1082" s="260"/>
      <c r="G1082" s="260"/>
      <c r="H1082" s="260"/>
      <c r="I1082" s="260"/>
      <c r="J1082" s="260"/>
      <c r="K1082" s="260"/>
    </row>
    <row r="1083" spans="1:11" ht="18.75" customHeight="1">
      <c r="A1083" s="261" t="s">
        <v>1600</v>
      </c>
      <c r="B1083" s="261"/>
      <c r="C1083" s="261"/>
      <c r="D1083" s="261"/>
      <c r="E1083" s="261"/>
      <c r="F1083" s="261"/>
      <c r="G1083" s="261"/>
      <c r="H1083" s="261"/>
      <c r="I1083" s="261"/>
      <c r="J1083" s="261"/>
      <c r="K1083" s="261"/>
    </row>
    <row r="1084" spans="1:11" ht="18.75" customHeight="1">
      <c r="A1084" s="262" t="s">
        <v>686</v>
      </c>
      <c r="B1084" s="259" t="s">
        <v>1228</v>
      </c>
      <c r="C1084" s="259"/>
      <c r="D1084" s="259"/>
      <c r="E1084" s="259"/>
      <c r="F1084" s="259"/>
      <c r="G1084" s="259"/>
      <c r="H1084" s="263" t="s">
        <v>1552</v>
      </c>
      <c r="I1084" s="263"/>
      <c r="J1084" s="263"/>
      <c r="K1084" s="263"/>
    </row>
    <row r="1085" spans="1:11" ht="27.75" customHeight="1">
      <c r="A1085" s="264" t="s">
        <v>688</v>
      </c>
      <c r="B1085" s="265" t="s">
        <v>1601</v>
      </c>
      <c r="C1085" s="265"/>
      <c r="D1085" s="265"/>
      <c r="E1085" s="265"/>
      <c r="F1085" s="265"/>
      <c r="G1085" s="265"/>
      <c r="H1085" s="265"/>
      <c r="I1085" s="265"/>
      <c r="J1085" s="265"/>
      <c r="K1085" s="265"/>
    </row>
    <row r="1086" spans="1:12" ht="18.75" customHeight="1">
      <c r="A1086" s="266" t="s">
        <v>28</v>
      </c>
      <c r="B1086" s="266" t="s">
        <v>690</v>
      </c>
      <c r="C1086" s="266" t="s">
        <v>650</v>
      </c>
      <c r="D1086" s="266"/>
      <c r="E1086" s="266"/>
      <c r="F1086" s="266"/>
      <c r="G1086" s="266" t="s">
        <v>651</v>
      </c>
      <c r="H1086" s="266"/>
      <c r="I1086" s="266" t="s">
        <v>691</v>
      </c>
      <c r="J1086" s="266" t="s">
        <v>692</v>
      </c>
      <c r="K1086" s="266" t="s">
        <v>693</v>
      </c>
    </row>
    <row r="1087" spans="1:12" ht="18.75" customHeight="1">
      <c r="A1087" s="266" t="s">
        <v>31</v>
      </c>
      <c r="B1087" s="267" t="s">
        <v>694</v>
      </c>
      <c r="C1087" s="267"/>
      <c r="D1087" s="267"/>
      <c r="E1087" s="267"/>
      <c r="F1087" s="267"/>
      <c r="G1087" s="266" t="s">
        <v>695</v>
      </c>
      <c r="H1087" s="266"/>
      <c r="I1087" s="268"/>
      <c r="J1087" s="268"/>
      <c r="K1087" s="380">
        <f>K1088+K1090+K1093+K1097+K1098</f>
        <v>0</v>
      </c>
    </row>
    <row r="1088" spans="1:12" ht="18.75" customHeight="1">
      <c r="A1088" s="266" t="s">
        <v>76</v>
      </c>
      <c r="B1088" s="267" t="s">
        <v>353</v>
      </c>
      <c r="C1088" s="267"/>
      <c r="D1088" s="267"/>
      <c r="E1088" s="267"/>
      <c r="F1088" s="267"/>
      <c r="G1088" s="266" t="s">
        <v>695</v>
      </c>
      <c r="H1088" s="266"/>
      <c r="I1088" s="268"/>
      <c r="J1088" s="268"/>
      <c r="K1088" s="380">
        <f>SUM(K1089:K1089)</f>
        <v>0</v>
      </c>
    </row>
    <row r="1089" spans="1:12" ht="18.75" customHeight="1">
      <c r="A1089" s="266"/>
      <c r="B1089" s="267" t="s">
        <v>698</v>
      </c>
      <c r="C1089" s="267"/>
      <c r="D1089" s="267"/>
      <c r="E1089" s="267"/>
      <c r="F1089" s="267"/>
      <c r="G1089" s="266" t="s">
        <v>699</v>
      </c>
      <c r="H1089" s="266"/>
      <c r="I1089" s="268">
        <f>ROUND(341,3)</f>
        <v>0</v>
      </c>
      <c r="J1089" s="380">
        <v>3.46</v>
      </c>
      <c r="K1089" s="380">
        <f>ROUND(I1089*J1089,2)</f>
        <v>0</v>
      </c>
    </row>
    <row r="1090" spans="1:12" ht="18.75" customHeight="1">
      <c r="A1090" s="266" t="s">
        <v>152</v>
      </c>
      <c r="B1090" s="267" t="s">
        <v>354</v>
      </c>
      <c r="C1090" s="267"/>
      <c r="D1090" s="267"/>
      <c r="E1090" s="267"/>
      <c r="F1090" s="267"/>
      <c r="G1090" s="266" t="s">
        <v>695</v>
      </c>
      <c r="H1090" s="266"/>
      <c r="I1090" s="268"/>
      <c r="J1090" s="268"/>
      <c r="K1090" s="380">
        <f>SUM(K1091:K1092)</f>
        <v>0</v>
      </c>
    </row>
    <row r="1091" spans="1:12" ht="18.75" customHeight="1">
      <c r="A1091" s="266"/>
      <c r="B1091" s="267" t="s">
        <v>1558</v>
      </c>
      <c r="C1091" s="267"/>
      <c r="D1091" s="267"/>
      <c r="E1091" s="267"/>
      <c r="F1091" s="267"/>
      <c r="G1091" s="266" t="s">
        <v>656</v>
      </c>
      <c r="H1091" s="266"/>
      <c r="I1091" s="268">
        <f>ROUND(1.82,3)</f>
        <v>0</v>
      </c>
      <c r="J1091" s="380">
        <v>3</v>
      </c>
      <c r="K1091" s="380">
        <f>ROUND(I1091*J1091,2)</f>
        <v>0</v>
      </c>
    </row>
    <row r="1092" spans="1:12" ht="18.75" customHeight="1">
      <c r="A1092" s="266"/>
      <c r="B1092" s="267" t="s">
        <v>828</v>
      </c>
      <c r="C1092" s="267"/>
      <c r="D1092" s="267"/>
      <c r="E1092" s="267"/>
      <c r="F1092" s="267"/>
      <c r="G1092" s="266" t="s">
        <v>334</v>
      </c>
      <c r="H1092" s="266"/>
      <c r="I1092" s="268">
        <f>ROUND(10,3)</f>
        <v>0</v>
      </c>
      <c r="J1092" s="380">
        <f>K1091</f>
        <v>0</v>
      </c>
      <c r="K1092" s="380">
        <f>ROUND(I1092*J1092/100,2)</f>
        <v>0</v>
      </c>
    </row>
    <row r="1093" spans="1:12" ht="18.75" customHeight="1">
      <c r="A1093" s="266" t="s">
        <v>704</v>
      </c>
      <c r="B1093" s="267" t="s">
        <v>705</v>
      </c>
      <c r="C1093" s="267"/>
      <c r="D1093" s="267"/>
      <c r="E1093" s="267"/>
      <c r="F1093" s="267"/>
      <c r="G1093" s="266" t="s">
        <v>695</v>
      </c>
      <c r="H1093" s="266"/>
      <c r="I1093" s="268"/>
      <c r="J1093" s="268"/>
      <c r="K1093" s="380">
        <f>SUM(K1094:K1096)</f>
        <v>0</v>
      </c>
    </row>
    <row r="1094" spans="1:12" ht="18.75" customHeight="1">
      <c r="A1094" s="266"/>
      <c r="B1094" s="267" t="s">
        <v>1303</v>
      </c>
      <c r="C1094" s="267" t="s">
        <v>1304</v>
      </c>
      <c r="D1094" s="267"/>
      <c r="E1094" s="267"/>
      <c r="F1094" s="267"/>
      <c r="G1094" s="266" t="s">
        <v>709</v>
      </c>
      <c r="H1094" s="266"/>
      <c r="I1094" s="268">
        <f>ROUND(4.7,3)</f>
        <v>0</v>
      </c>
      <c r="J1094" s="380">
        <v>49.56</v>
      </c>
      <c r="K1094" s="380">
        <f>ROUND(I1094*J1094,2)</f>
        <v>0</v>
      </c>
    </row>
    <row r="1095" spans="1:12" ht="18.75" customHeight="1">
      <c r="A1095" s="266"/>
      <c r="B1095" s="267" t="s">
        <v>1568</v>
      </c>
      <c r="C1095" s="267" t="s">
        <v>1569</v>
      </c>
      <c r="D1095" s="267"/>
      <c r="E1095" s="267"/>
      <c r="F1095" s="267"/>
      <c r="G1095" s="266" t="s">
        <v>709</v>
      </c>
      <c r="H1095" s="266"/>
      <c r="I1095" s="268">
        <f>ROUND(1,3)</f>
        <v>0</v>
      </c>
      <c r="J1095" s="380">
        <v>6.76</v>
      </c>
      <c r="K1095" s="380">
        <f>ROUND(I1095*J1095,2)</f>
        <v>0</v>
      </c>
    </row>
    <row r="1096" spans="1:12" ht="18.75" customHeight="1">
      <c r="A1096" s="266"/>
      <c r="B1096" s="267" t="s">
        <v>883</v>
      </c>
      <c r="C1096" s="267"/>
      <c r="D1096" s="267"/>
      <c r="E1096" s="267"/>
      <c r="F1096" s="267"/>
      <c r="G1096" s="266" t="s">
        <v>334</v>
      </c>
      <c r="H1096" s="266"/>
      <c r="I1096" s="268">
        <f>ROUND(8,3)</f>
        <v>0</v>
      </c>
      <c r="J1096" s="380">
        <f>K1094+K1095</f>
        <v>0</v>
      </c>
      <c r="K1096" s="380">
        <f>ROUND(I1096*J1096/100,2)</f>
        <v>0</v>
      </c>
    </row>
    <row r="1097" spans="1:12" ht="18.75" customHeight="1">
      <c r="A1097" s="266" t="s">
        <v>721</v>
      </c>
      <c r="B1097" s="267" t="s">
        <v>722</v>
      </c>
      <c r="C1097" s="267"/>
      <c r="D1097" s="267"/>
      <c r="E1097" s="267"/>
      <c r="F1097" s="267"/>
      <c r="G1097" s="266" t="s">
        <v>695</v>
      </c>
      <c r="H1097" s="266"/>
      <c r="I1097" s="268">
        <f>3.7&amp;"%"</f>
        <v>0</v>
      </c>
      <c r="J1097" s="380">
        <f>K1088+K1090+K1093</f>
        <v>0</v>
      </c>
      <c r="K1097" s="380">
        <f>ROUND(I1097*J1097,2)</f>
        <v>0</v>
      </c>
    </row>
    <row r="1098" spans="1:12" ht="18.75" customHeight="1">
      <c r="A1098" s="266" t="s">
        <v>348</v>
      </c>
      <c r="B1098" s="267" t="s">
        <v>726</v>
      </c>
      <c r="C1098" s="267"/>
      <c r="D1098" s="267"/>
      <c r="E1098" s="267"/>
      <c r="F1098" s="267"/>
      <c r="G1098" s="266" t="s">
        <v>695</v>
      </c>
      <c r="H1098" s="266"/>
      <c r="I1098" s="268">
        <f>45&amp;"%"</f>
        <v>0</v>
      </c>
      <c r="J1098" s="380">
        <f>K1088</f>
        <v>0</v>
      </c>
      <c r="K1098" s="380">
        <f>ROUND(I1098*J1098,2)</f>
        <v>0</v>
      </c>
    </row>
    <row r="1099" spans="1:12" ht="18.75" customHeight="1">
      <c r="A1099" s="266" t="s">
        <v>34</v>
      </c>
      <c r="B1099" s="267" t="s">
        <v>729</v>
      </c>
      <c r="C1099" s="267"/>
      <c r="D1099" s="267"/>
      <c r="E1099" s="267"/>
      <c r="F1099" s="267"/>
      <c r="G1099" s="266" t="s">
        <v>695</v>
      </c>
      <c r="H1099" s="266"/>
      <c r="I1099" s="268">
        <f>47&amp;"%"</f>
        <v>0</v>
      </c>
      <c r="J1099" s="380">
        <f>K1088</f>
        <v>0</v>
      </c>
      <c r="K1099" s="380">
        <f>ROUND(I1099*J1099,2)</f>
        <v>0</v>
      </c>
    </row>
    <row r="1100" spans="1:12" ht="18.75" customHeight="1">
      <c r="A1100" s="266" t="s">
        <v>37</v>
      </c>
      <c r="B1100" s="267" t="s">
        <v>732</v>
      </c>
      <c r="C1100" s="267"/>
      <c r="D1100" s="267"/>
      <c r="E1100" s="267"/>
      <c r="F1100" s="267"/>
      <c r="G1100" s="266" t="s">
        <v>695</v>
      </c>
      <c r="H1100" s="266"/>
      <c r="I1100" s="268">
        <f>32.8&amp;"%"</f>
        <v>0</v>
      </c>
      <c r="J1100" s="380">
        <f>K1088+ROUND(I1094*2.7*3.46,2)+ROUND(I1095*1.3*3.46,2)</f>
        <v>0</v>
      </c>
      <c r="K1100" s="380">
        <f>ROUND(I1100*J1100,2)</f>
        <v>0</v>
      </c>
    </row>
    <row r="1101" spans="1:12" ht="18.75" customHeight="1">
      <c r="A1101" s="266" t="s">
        <v>40</v>
      </c>
      <c r="B1101" s="267" t="s">
        <v>736</v>
      </c>
      <c r="C1101" s="267"/>
      <c r="D1101" s="267"/>
      <c r="E1101" s="267"/>
      <c r="F1101" s="267"/>
      <c r="G1101" s="266" t="s">
        <v>695</v>
      </c>
      <c r="H1101" s="266"/>
      <c r="I1101" s="268">
        <f>7&amp;"%"</f>
        <v>0</v>
      </c>
      <c r="J1101" s="380">
        <f>K1087+K1099+K1100</f>
        <v>0</v>
      </c>
      <c r="K1101" s="380">
        <f>ROUND(I1101*J1101,2)</f>
        <v>0</v>
      </c>
    </row>
    <row r="1102" spans="1:12" ht="18.75" customHeight="1">
      <c r="A1102" s="266" t="s">
        <v>43</v>
      </c>
      <c r="B1102" s="267" t="s">
        <v>1584</v>
      </c>
      <c r="C1102" s="267"/>
      <c r="D1102" s="267"/>
      <c r="E1102" s="267"/>
      <c r="F1102" s="267"/>
      <c r="G1102" s="266" t="s">
        <v>695</v>
      </c>
      <c r="H1102" s="266"/>
      <c r="I1102" s="268"/>
      <c r="J1102" s="268"/>
      <c r="K1102" s="380">
        <f>SUM(K1103:K1103)</f>
        <v>0</v>
      </c>
    </row>
    <row r="1103" spans="1:12" ht="18.75" customHeight="1">
      <c r="A1103" s="266"/>
      <c r="B1103" s="267" t="s">
        <v>1586</v>
      </c>
      <c r="C1103" s="267" t="s">
        <v>1622</v>
      </c>
      <c r="D1103" s="267"/>
      <c r="E1103" s="267"/>
      <c r="F1103" s="267"/>
      <c r="G1103" s="266" t="s">
        <v>113</v>
      </c>
      <c r="H1103" s="266"/>
      <c r="I1103" s="268">
        <f>ROUND(100,3)</f>
        <v>0</v>
      </c>
      <c r="J1103" s="380">
        <v>73.28</v>
      </c>
      <c r="K1103" s="380">
        <f>ROUND(I1103*J1103,2)</f>
        <v>0</v>
      </c>
    </row>
    <row r="1104" spans="1:12" ht="18.75" customHeight="1">
      <c r="A1104" s="266" t="s">
        <v>46</v>
      </c>
      <c r="B1104" s="267" t="s">
        <v>361</v>
      </c>
      <c r="C1104" s="267"/>
      <c r="D1104" s="267"/>
      <c r="E1104" s="267"/>
      <c r="F1104" s="267"/>
      <c r="G1104" s="266" t="s">
        <v>695</v>
      </c>
      <c r="H1104" s="266"/>
      <c r="I1104" s="268"/>
      <c r="J1104" s="268"/>
      <c r="K1104" s="380">
        <f>SUM(K1105:K1108)</f>
        <v>0</v>
      </c>
    </row>
    <row r="1105" spans="1:12" ht="18.75" customHeight="1">
      <c r="A1105" s="266"/>
      <c r="B1105" s="267" t="s">
        <v>698</v>
      </c>
      <c r="C1105" s="267"/>
      <c r="D1105" s="267"/>
      <c r="E1105" s="267"/>
      <c r="F1105" s="267"/>
      <c r="G1105" s="266" t="s">
        <v>699</v>
      </c>
      <c r="H1105" s="266"/>
      <c r="I1105" s="268">
        <f>ROUND(I1089,3)</f>
        <v>0</v>
      </c>
      <c r="J1105" s="380">
        <v>4</v>
      </c>
      <c r="K1105" s="380">
        <f>ROUND(I1105*J1105,2)</f>
        <v>0</v>
      </c>
    </row>
    <row r="1106" spans="1:12" ht="18.75" customHeight="1">
      <c r="A1106" s="266"/>
      <c r="B1106" s="267" t="s">
        <v>741</v>
      </c>
      <c r="C1106" s="267"/>
      <c r="D1106" s="267"/>
      <c r="E1106" s="267"/>
      <c r="F1106" s="267"/>
      <c r="G1106" s="266" t="s">
        <v>699</v>
      </c>
      <c r="H1106" s="266"/>
      <c r="I1106" s="268">
        <f>ROUND(I1094*2.7+I1095*1.3,3)</f>
        <v>0</v>
      </c>
      <c r="J1106" s="380">
        <v>4</v>
      </c>
      <c r="K1106" s="380">
        <f>ROUND(I1106*J1106,2)</f>
        <v>0</v>
      </c>
    </row>
    <row r="1107" spans="1:12" ht="18.75" customHeight="1">
      <c r="A1107" s="266"/>
      <c r="B1107" s="267" t="s">
        <v>666</v>
      </c>
      <c r="C1107" s="267" t="s">
        <v>667</v>
      </c>
      <c r="D1107" s="267"/>
      <c r="E1107" s="267"/>
      <c r="F1107" s="267"/>
      <c r="G1107" s="266" t="s">
        <v>656</v>
      </c>
      <c r="H1107" s="266"/>
      <c r="I1107" s="268">
        <f>ROUND(I1094*5.8,3)</f>
        <v>0</v>
      </c>
      <c r="J1107" s="380">
        <v>3.71</v>
      </c>
      <c r="K1107" s="380">
        <f>ROUND(I1107*J1107,2)</f>
        <v>0</v>
      </c>
    </row>
    <row r="1108" spans="1:12" ht="18.75" customHeight="1">
      <c r="A1108" s="266"/>
      <c r="B1108" s="267" t="s">
        <v>1558</v>
      </c>
      <c r="C1108" s="267"/>
      <c r="D1108" s="267"/>
      <c r="E1108" s="267"/>
      <c r="F1108" s="267"/>
      <c r="G1108" s="266" t="s">
        <v>656</v>
      </c>
      <c r="H1108" s="266"/>
      <c r="I1108" s="268">
        <f>ROUND(I1091,3)</f>
        <v>0</v>
      </c>
      <c r="J1108" s="380">
        <v>17</v>
      </c>
      <c r="K1108" s="380">
        <f>ROUND(I1108*J1108,2)</f>
        <v>0</v>
      </c>
    </row>
    <row r="1109" spans="1:12" ht="18.75" customHeight="1">
      <c r="A1109" s="266" t="s">
        <v>49</v>
      </c>
      <c r="B1109" s="267" t="s">
        <v>362</v>
      </c>
      <c r="C1109" s="267"/>
      <c r="D1109" s="267"/>
      <c r="E1109" s="267"/>
      <c r="F1109" s="267"/>
      <c r="G1109" s="266" t="s">
        <v>695</v>
      </c>
      <c r="H1109" s="266"/>
      <c r="I1109" s="268">
        <f>0&amp;"%"</f>
        <v>0</v>
      </c>
      <c r="J1109" s="380">
        <f>K1087+K1099+K1100+K1101+K1102+K1104</f>
        <v>0</v>
      </c>
      <c r="K1109" s="380">
        <f>ROUND(I1109*J1109,2)</f>
        <v>0</v>
      </c>
    </row>
    <row r="1110" spans="1:12" ht="18.75" customHeight="1">
      <c r="A1110" s="266" t="s">
        <v>52</v>
      </c>
      <c r="B1110" s="267" t="s">
        <v>363</v>
      </c>
      <c r="C1110" s="267"/>
      <c r="D1110" s="267"/>
      <c r="E1110" s="267"/>
      <c r="F1110" s="267"/>
      <c r="G1110" s="266" t="s">
        <v>695</v>
      </c>
      <c r="H1110" s="266"/>
      <c r="I1110" s="268">
        <f>9&amp;"%"</f>
        <v>0</v>
      </c>
      <c r="J1110" s="380">
        <f>K1087+K1099+K1100+K1101+K1102+K1104+K1109</f>
        <v>0</v>
      </c>
      <c r="K1110" s="380">
        <f>ROUND(I1110*J1110,2)</f>
        <v>0</v>
      </c>
    </row>
    <row r="1111" spans="1:12" ht="18.75" customHeight="1">
      <c r="A1111" s="266"/>
      <c r="B1111" s="267" t="s">
        <v>64</v>
      </c>
      <c r="C1111" s="267"/>
      <c r="D1111" s="267"/>
      <c r="E1111" s="267"/>
      <c r="F1111" s="267"/>
      <c r="G1111" s="266" t="s">
        <v>695</v>
      </c>
      <c r="H1111" s="266"/>
      <c r="I1111" s="268"/>
      <c r="J1111" s="268"/>
      <c r="K1111" s="380">
        <f>K1087+K1099+K1100+K1101+K1102+K1104+K1109+K1110</f>
        <v>0</v>
      </c>
    </row>
    <row r="1112" spans="1:12" ht="18.75" customHeight="1">
      <c r="A1112" s="266"/>
      <c r="B1112" s="267" t="s">
        <v>752</v>
      </c>
      <c r="C1112" s="267"/>
      <c r="D1112" s="267"/>
      <c r="E1112" s="267"/>
      <c r="F1112" s="267"/>
      <c r="G1112" s="266" t="s">
        <v>695</v>
      </c>
      <c r="H1112" s="266"/>
      <c r="I1112" s="268"/>
      <c r="J1112" s="268"/>
      <c r="K1112" s="380">
        <f>ROUND(K1111/100,2)</f>
        <v>0</v>
      </c>
    </row>
    <row r="1113" spans="1:11" ht="18.75" customHeight="1">
      <c r="A1113" s="266"/>
      <c r="B1113" s="267"/>
      <c r="C1113" s="267"/>
      <c r="D1113" s="267"/>
      <c r="E1113" s="267"/>
      <c r="F1113" s="267"/>
      <c r="G1113" s="266"/>
      <c r="H1113" s="266"/>
      <c r="I1113" s="268"/>
      <c r="J1113" s="268"/>
      <c r="K1113" s="268"/>
    </row>
    <row r="1114" spans="1:11" ht="18.75" customHeight="1">
      <c r="A1114" s="266"/>
      <c r="B1114" s="267"/>
      <c r="C1114" s="267"/>
      <c r="D1114" s="267"/>
      <c r="E1114" s="267"/>
      <c r="F1114" s="267"/>
      <c r="G1114" s="266"/>
      <c r="H1114" s="266"/>
      <c r="I1114" s="268"/>
      <c r="J1114" s="268"/>
      <c r="K1114" s="268"/>
    </row>
    <row r="1115" spans="1:11" ht="18.75" customHeight="1">
      <c r="A1115" s="266"/>
      <c r="B1115" s="267"/>
      <c r="C1115" s="267"/>
      <c r="D1115" s="267"/>
      <c r="E1115" s="267"/>
      <c r="F1115" s="267"/>
      <c r="G1115" s="266"/>
      <c r="H1115" s="266"/>
      <c r="I1115" s="268"/>
      <c r="J1115" s="268"/>
      <c r="K1115" s="268"/>
    </row>
    <row r="1116" spans="1:11" ht="18.75" customHeight="1">
      <c r="A1116" s="266"/>
      <c r="B1116" s="267"/>
      <c r="C1116" s="267"/>
      <c r="D1116" s="267"/>
      <c r="E1116" s="267"/>
      <c r="F1116" s="267"/>
      <c r="G1116" s="266"/>
      <c r="H1116" s="266"/>
      <c r="I1116" s="268"/>
      <c r="J1116" s="268"/>
      <c r="K1116" s="268"/>
    </row>
    <row r="1117" spans="1:11" ht="18.75" customHeight="1">
      <c r="A1117" s="266"/>
      <c r="B1117" s="267"/>
      <c r="C1117" s="267"/>
      <c r="D1117" s="267"/>
      <c r="E1117" s="267"/>
      <c r="F1117" s="267"/>
      <c r="G1117" s="266"/>
      <c r="H1117" s="266"/>
      <c r="I1117" s="268"/>
      <c r="J1117" s="268"/>
      <c r="K1117" s="268"/>
    </row>
    <row r="1118" spans="1:11" ht="7.5" customHeight="1">
      <c r="A1118" s="259"/>
      <c r="B1118" s="259"/>
      <c r="C1118" s="259"/>
      <c r="D1118" s="259"/>
      <c r="E1118" s="259"/>
      <c r="F1118" s="259"/>
      <c r="G1118" s="259"/>
      <c r="H1118" s="259"/>
      <c r="I1118" s="259"/>
      <c r="J1118" s="259"/>
      <c r="K1118" s="259"/>
    </row>
    <row r="1119" spans="1:11" ht="26.25" customHeight="1">
      <c r="A1119" s="260" t="s">
        <v>684</v>
      </c>
      <c r="B1119" s="260"/>
      <c r="C1119" s="260"/>
      <c r="D1119" s="260"/>
      <c r="E1119" s="260"/>
      <c r="F1119" s="260"/>
      <c r="G1119" s="260"/>
      <c r="H1119" s="260"/>
      <c r="I1119" s="260"/>
      <c r="J1119" s="260"/>
      <c r="K1119" s="260"/>
    </row>
    <row r="1120" spans="1:11" ht="18.75" customHeight="1">
      <c r="A1120" s="261" t="s">
        <v>1634</v>
      </c>
      <c r="B1120" s="261"/>
      <c r="C1120" s="261"/>
      <c r="D1120" s="261"/>
      <c r="E1120" s="261"/>
      <c r="F1120" s="261"/>
      <c r="G1120" s="261"/>
      <c r="H1120" s="261"/>
      <c r="I1120" s="261"/>
      <c r="J1120" s="261"/>
      <c r="K1120" s="261"/>
    </row>
    <row r="1121" spans="1:11" ht="18.75" customHeight="1">
      <c r="A1121" s="262" t="s">
        <v>686</v>
      </c>
      <c r="B1121" s="259" t="s">
        <v>1635</v>
      </c>
      <c r="C1121" s="259"/>
      <c r="D1121" s="259"/>
      <c r="E1121" s="259"/>
      <c r="F1121" s="259"/>
      <c r="G1121" s="259"/>
      <c r="H1121" s="263" t="s">
        <v>1552</v>
      </c>
      <c r="I1121" s="263"/>
      <c r="J1121" s="263"/>
      <c r="K1121" s="263"/>
    </row>
    <row r="1122" spans="1:11" ht="27.75" customHeight="1">
      <c r="A1122" s="264" t="s">
        <v>688</v>
      </c>
      <c r="B1122" s="265" t="s">
        <v>1636</v>
      </c>
      <c r="C1122" s="265"/>
      <c r="D1122" s="265"/>
      <c r="E1122" s="265"/>
      <c r="F1122" s="265"/>
      <c r="G1122" s="265"/>
      <c r="H1122" s="265"/>
      <c r="I1122" s="265"/>
      <c r="J1122" s="265"/>
      <c r="K1122" s="265"/>
    </row>
    <row r="1123" spans="1:12" ht="18.75" customHeight="1">
      <c r="A1123" s="266" t="s">
        <v>28</v>
      </c>
      <c r="B1123" s="266" t="s">
        <v>690</v>
      </c>
      <c r="C1123" s="266" t="s">
        <v>650</v>
      </c>
      <c r="D1123" s="266"/>
      <c r="E1123" s="266"/>
      <c r="F1123" s="266"/>
      <c r="G1123" s="266" t="s">
        <v>651</v>
      </c>
      <c r="H1123" s="266"/>
      <c r="I1123" s="266" t="s">
        <v>691</v>
      </c>
      <c r="J1123" s="266" t="s">
        <v>692</v>
      </c>
      <c r="K1123" s="266" t="s">
        <v>693</v>
      </c>
    </row>
    <row r="1124" spans="1:12" ht="18.75" customHeight="1">
      <c r="A1124" s="266" t="s">
        <v>31</v>
      </c>
      <c r="B1124" s="267" t="s">
        <v>694</v>
      </c>
      <c r="C1124" s="267"/>
      <c r="D1124" s="267"/>
      <c r="E1124" s="267"/>
      <c r="F1124" s="267"/>
      <c r="G1124" s="266" t="s">
        <v>695</v>
      </c>
      <c r="H1124" s="266"/>
      <c r="I1124" s="268"/>
      <c r="J1124" s="268"/>
      <c r="K1124" s="380">
        <f>K1125+K1127+K1130+K1135+K1136</f>
        <v>0</v>
      </c>
    </row>
    <row r="1125" spans="1:12" ht="18.75" customHeight="1">
      <c r="A1125" s="266" t="s">
        <v>76</v>
      </c>
      <c r="B1125" s="267" t="s">
        <v>353</v>
      </c>
      <c r="C1125" s="267"/>
      <c r="D1125" s="267"/>
      <c r="E1125" s="267"/>
      <c r="F1125" s="267"/>
      <c r="G1125" s="266" t="s">
        <v>695</v>
      </c>
      <c r="H1125" s="266"/>
      <c r="I1125" s="268"/>
      <c r="J1125" s="268"/>
      <c r="K1125" s="380">
        <f>SUM(K1126:K1126)</f>
        <v>0</v>
      </c>
    </row>
    <row r="1126" spans="1:12" ht="18.75" customHeight="1">
      <c r="A1126" s="266"/>
      <c r="B1126" s="267" t="s">
        <v>698</v>
      </c>
      <c r="C1126" s="267"/>
      <c r="D1126" s="267"/>
      <c r="E1126" s="267"/>
      <c r="F1126" s="267"/>
      <c r="G1126" s="266" t="s">
        <v>699</v>
      </c>
      <c r="H1126" s="266"/>
      <c r="I1126" s="268">
        <f>ROUND(749,3)</f>
        <v>0</v>
      </c>
      <c r="J1126" s="380">
        <v>3.46</v>
      </c>
      <c r="K1126" s="380">
        <f>ROUND(I1126*J1126,2)</f>
        <v>0</v>
      </c>
    </row>
    <row r="1127" spans="1:12" ht="18.75" customHeight="1">
      <c r="A1127" s="266" t="s">
        <v>152</v>
      </c>
      <c r="B1127" s="267" t="s">
        <v>354</v>
      </c>
      <c r="C1127" s="267"/>
      <c r="D1127" s="267"/>
      <c r="E1127" s="267"/>
      <c r="F1127" s="267"/>
      <c r="G1127" s="266" t="s">
        <v>695</v>
      </c>
      <c r="H1127" s="266"/>
      <c r="I1127" s="268"/>
      <c r="J1127" s="268"/>
      <c r="K1127" s="380">
        <f>SUM(K1128:K1129)</f>
        <v>0</v>
      </c>
    </row>
    <row r="1128" spans="1:12" ht="18.75" customHeight="1">
      <c r="A1128" s="266"/>
      <c r="B1128" s="267" t="s">
        <v>1558</v>
      </c>
      <c r="C1128" s="267"/>
      <c r="D1128" s="267"/>
      <c r="E1128" s="267"/>
      <c r="F1128" s="267"/>
      <c r="G1128" s="266" t="s">
        <v>656</v>
      </c>
      <c r="H1128" s="266"/>
      <c r="I1128" s="268">
        <f>ROUND(3.5,3)</f>
        <v>0</v>
      </c>
      <c r="J1128" s="380">
        <v>3</v>
      </c>
      <c r="K1128" s="380">
        <f>ROUND(I1128*J1128,2)</f>
        <v>0</v>
      </c>
    </row>
    <row r="1129" spans="1:12" ht="18.75" customHeight="1">
      <c r="A1129" s="266"/>
      <c r="B1129" s="267" t="s">
        <v>828</v>
      </c>
      <c r="C1129" s="267"/>
      <c r="D1129" s="267"/>
      <c r="E1129" s="267"/>
      <c r="F1129" s="267"/>
      <c r="G1129" s="266" t="s">
        <v>334</v>
      </c>
      <c r="H1129" s="266"/>
      <c r="I1129" s="268">
        <f>ROUND(10,3)</f>
        <v>0</v>
      </c>
      <c r="J1129" s="380">
        <f>K1128</f>
        <v>0</v>
      </c>
      <c r="K1129" s="380">
        <f>ROUND(I1129*J1129/100,2)</f>
        <v>0</v>
      </c>
    </row>
    <row r="1130" spans="1:12" ht="18.75" customHeight="1">
      <c r="A1130" s="266" t="s">
        <v>704</v>
      </c>
      <c r="B1130" s="267" t="s">
        <v>705</v>
      </c>
      <c r="C1130" s="267"/>
      <c r="D1130" s="267"/>
      <c r="E1130" s="267"/>
      <c r="F1130" s="267"/>
      <c r="G1130" s="266" t="s">
        <v>695</v>
      </c>
      <c r="H1130" s="266"/>
      <c r="I1130" s="268"/>
      <c r="J1130" s="268"/>
      <c r="K1130" s="380">
        <f>SUM(K1131:K1134)</f>
        <v>0</v>
      </c>
    </row>
    <row r="1131" spans="1:12" ht="18.75" customHeight="1">
      <c r="A1131" s="266"/>
      <c r="B1131" s="267" t="s">
        <v>1303</v>
      </c>
      <c r="C1131" s="267" t="s">
        <v>1643</v>
      </c>
      <c r="D1131" s="267"/>
      <c r="E1131" s="267"/>
      <c r="F1131" s="267"/>
      <c r="G1131" s="266" t="s">
        <v>709</v>
      </c>
      <c r="H1131" s="266"/>
      <c r="I1131" s="268">
        <f>ROUND(9.24,3)</f>
        <v>0</v>
      </c>
      <c r="J1131" s="380">
        <v>64.39</v>
      </c>
      <c r="K1131" s="380">
        <f>ROUND(I1131*J1131,2)</f>
        <v>0</v>
      </c>
    </row>
    <row r="1132" spans="1:12" ht="18.75" customHeight="1">
      <c r="A1132" s="266"/>
      <c r="B1132" s="267" t="s">
        <v>1564</v>
      </c>
      <c r="C1132" s="267" t="s">
        <v>1565</v>
      </c>
      <c r="D1132" s="267"/>
      <c r="E1132" s="267"/>
      <c r="F1132" s="267"/>
      <c r="G1132" s="266" t="s">
        <v>709</v>
      </c>
      <c r="H1132" s="266"/>
      <c r="I1132" s="268">
        <f>ROUND(7.14,3)</f>
        <v>0</v>
      </c>
      <c r="J1132" s="380">
        <v>20.39</v>
      </c>
      <c r="K1132" s="380">
        <f>ROUND(I1132*J1132,2)</f>
        <v>0</v>
      </c>
    </row>
    <row r="1133" spans="1:12" ht="18.75" customHeight="1">
      <c r="A1133" s="266"/>
      <c r="B1133" s="267" t="s">
        <v>1568</v>
      </c>
      <c r="C1133" s="267" t="s">
        <v>1569</v>
      </c>
      <c r="D1133" s="267"/>
      <c r="E1133" s="267"/>
      <c r="F1133" s="267"/>
      <c r="G1133" s="266" t="s">
        <v>709</v>
      </c>
      <c r="H1133" s="266"/>
      <c r="I1133" s="268">
        <f>ROUND(1.26,3)</f>
        <v>0</v>
      </c>
      <c r="J1133" s="380">
        <v>6.76</v>
      </c>
      <c r="K1133" s="380">
        <f>ROUND(I1133*J1133,2)</f>
        <v>0</v>
      </c>
    </row>
    <row r="1134" spans="1:12" ht="18.75" customHeight="1">
      <c r="A1134" s="266"/>
      <c r="B1134" s="267" t="s">
        <v>883</v>
      </c>
      <c r="C1134" s="267"/>
      <c r="D1134" s="267"/>
      <c r="E1134" s="267"/>
      <c r="F1134" s="267"/>
      <c r="G1134" s="266" t="s">
        <v>334</v>
      </c>
      <c r="H1134" s="266"/>
      <c r="I1134" s="268">
        <f>ROUND(8,3)</f>
        <v>0</v>
      </c>
      <c r="J1134" s="380">
        <f>K1131+K1132+K1133</f>
        <v>0</v>
      </c>
      <c r="K1134" s="380">
        <f>ROUND(I1134*J1134/100,2)</f>
        <v>0</v>
      </c>
    </row>
    <row r="1135" spans="1:12" ht="18.75" customHeight="1">
      <c r="A1135" s="266" t="s">
        <v>721</v>
      </c>
      <c r="B1135" s="267" t="s">
        <v>722</v>
      </c>
      <c r="C1135" s="267"/>
      <c r="D1135" s="267"/>
      <c r="E1135" s="267"/>
      <c r="F1135" s="267"/>
      <c r="G1135" s="266" t="s">
        <v>695</v>
      </c>
      <c r="H1135" s="266"/>
      <c r="I1135" s="268">
        <f>3.7&amp;"%"</f>
        <v>0</v>
      </c>
      <c r="J1135" s="380">
        <f>K1125+K1127+K1130</f>
        <v>0</v>
      </c>
      <c r="K1135" s="380">
        <f>ROUND(I1135*J1135,2)</f>
        <v>0</v>
      </c>
    </row>
    <row r="1136" spans="1:12" ht="18.75" customHeight="1">
      <c r="A1136" s="266" t="s">
        <v>348</v>
      </c>
      <c r="B1136" s="267" t="s">
        <v>726</v>
      </c>
      <c r="C1136" s="267"/>
      <c r="D1136" s="267"/>
      <c r="E1136" s="267"/>
      <c r="F1136" s="267"/>
      <c r="G1136" s="266" t="s">
        <v>695</v>
      </c>
      <c r="H1136" s="266"/>
      <c r="I1136" s="268">
        <f>45&amp;"%"</f>
        <v>0</v>
      </c>
      <c r="J1136" s="380">
        <f>K1125</f>
        <v>0</v>
      </c>
      <c r="K1136" s="380">
        <f>ROUND(I1136*J1136,2)</f>
        <v>0</v>
      </c>
    </row>
    <row r="1137" spans="1:12" ht="18.75" customHeight="1">
      <c r="A1137" s="266" t="s">
        <v>34</v>
      </c>
      <c r="B1137" s="267" t="s">
        <v>729</v>
      </c>
      <c r="C1137" s="267"/>
      <c r="D1137" s="267"/>
      <c r="E1137" s="267"/>
      <c r="F1137" s="267"/>
      <c r="G1137" s="266" t="s">
        <v>695</v>
      </c>
      <c r="H1137" s="266"/>
      <c r="I1137" s="268">
        <f>47&amp;"%"</f>
        <v>0</v>
      </c>
      <c r="J1137" s="380">
        <f>K1125</f>
        <v>0</v>
      </c>
      <c r="K1137" s="380">
        <f>ROUND(I1137*J1137,2)</f>
        <v>0</v>
      </c>
    </row>
    <row r="1138" spans="1:12" ht="18.75" customHeight="1">
      <c r="A1138" s="266" t="s">
        <v>37</v>
      </c>
      <c r="B1138" s="267" t="s">
        <v>732</v>
      </c>
      <c r="C1138" s="267"/>
      <c r="D1138" s="267"/>
      <c r="E1138" s="267"/>
      <c r="F1138" s="267"/>
      <c r="G1138" s="266" t="s">
        <v>695</v>
      </c>
      <c r="H1138" s="266"/>
      <c r="I1138" s="268">
        <f>32.8&amp;"%"</f>
        <v>0</v>
      </c>
      <c r="J1138" s="380">
        <f>K1125+ROUND(I1131*2.7*3.46,2)+ROUND(I1132*1.3*3.46,2)+ROUND(I1133*1.3*3.46,2)</f>
        <v>0</v>
      </c>
      <c r="K1138" s="380">
        <f>ROUND(I1138*J1138,2)</f>
        <v>0</v>
      </c>
    </row>
    <row r="1139" spans="1:12" ht="18.75" customHeight="1">
      <c r="A1139" s="266" t="s">
        <v>40</v>
      </c>
      <c r="B1139" s="267" t="s">
        <v>736</v>
      </c>
      <c r="C1139" s="267"/>
      <c r="D1139" s="267"/>
      <c r="E1139" s="267"/>
      <c r="F1139" s="267"/>
      <c r="G1139" s="266" t="s">
        <v>695</v>
      </c>
      <c r="H1139" s="266"/>
      <c r="I1139" s="268">
        <f>7&amp;"%"</f>
        <v>0</v>
      </c>
      <c r="J1139" s="380">
        <f>K1124+K1137+K1138</f>
        <v>0</v>
      </c>
      <c r="K1139" s="380">
        <f>ROUND(I1139*J1139,2)</f>
        <v>0</v>
      </c>
    </row>
    <row r="1140" spans="1:12" ht="18.75" customHeight="1">
      <c r="A1140" s="266" t="s">
        <v>43</v>
      </c>
      <c r="B1140" s="267" t="s">
        <v>1584</v>
      </c>
      <c r="C1140" s="267"/>
      <c r="D1140" s="267"/>
      <c r="E1140" s="267"/>
      <c r="F1140" s="267"/>
      <c r="G1140" s="266" t="s">
        <v>695</v>
      </c>
      <c r="H1140" s="266"/>
      <c r="I1140" s="268"/>
      <c r="J1140" s="268"/>
      <c r="K1140" s="380">
        <f>SUM(K1141:K1141)</f>
        <v>0</v>
      </c>
    </row>
    <row r="1141" spans="1:12" ht="18.75" customHeight="1">
      <c r="A1141" s="266"/>
      <c r="B1141" s="267" t="s">
        <v>1586</v>
      </c>
      <c r="C1141" s="267" t="s">
        <v>1660</v>
      </c>
      <c r="D1141" s="267"/>
      <c r="E1141" s="267"/>
      <c r="F1141" s="267"/>
      <c r="G1141" s="266" t="s">
        <v>113</v>
      </c>
      <c r="H1141" s="266"/>
      <c r="I1141" s="268">
        <f>ROUND(100,3)</f>
        <v>0</v>
      </c>
      <c r="J1141" s="380">
        <v>241.38</v>
      </c>
      <c r="K1141" s="380">
        <f>ROUND(I1141*J1141,2)</f>
        <v>0</v>
      </c>
    </row>
    <row r="1142" spans="1:12" ht="18.75" customHeight="1">
      <c r="A1142" s="266" t="s">
        <v>46</v>
      </c>
      <c r="B1142" s="267" t="s">
        <v>361</v>
      </c>
      <c r="C1142" s="267"/>
      <c r="D1142" s="267"/>
      <c r="E1142" s="267"/>
      <c r="F1142" s="267"/>
      <c r="G1142" s="266" t="s">
        <v>695</v>
      </c>
      <c r="H1142" s="266"/>
      <c r="I1142" s="268"/>
      <c r="J1142" s="268"/>
      <c r="K1142" s="380">
        <f>SUM(K1143:K1146)</f>
        <v>0</v>
      </c>
    </row>
    <row r="1143" spans="1:12" ht="18.75" customHeight="1">
      <c r="A1143" s="266"/>
      <c r="B1143" s="267" t="s">
        <v>698</v>
      </c>
      <c r="C1143" s="267"/>
      <c r="D1143" s="267"/>
      <c r="E1143" s="267"/>
      <c r="F1143" s="267"/>
      <c r="G1143" s="266" t="s">
        <v>699</v>
      </c>
      <c r="H1143" s="266"/>
      <c r="I1143" s="268">
        <f>ROUND(I1126,3)</f>
        <v>0</v>
      </c>
      <c r="J1143" s="380">
        <v>4</v>
      </c>
      <c r="K1143" s="380">
        <f>ROUND(I1143*J1143,2)</f>
        <v>0</v>
      </c>
    </row>
    <row r="1144" spans="1:12" ht="18.75" customHeight="1">
      <c r="A1144" s="266"/>
      <c r="B1144" s="267" t="s">
        <v>741</v>
      </c>
      <c r="C1144" s="267"/>
      <c r="D1144" s="267"/>
      <c r="E1144" s="267"/>
      <c r="F1144" s="267"/>
      <c r="G1144" s="266" t="s">
        <v>699</v>
      </c>
      <c r="H1144" s="266"/>
      <c r="I1144" s="268">
        <f>ROUND(I1131*2.7+I1132*1.3+I1133*1.3,3)</f>
        <v>0</v>
      </c>
      <c r="J1144" s="380">
        <v>4</v>
      </c>
      <c r="K1144" s="380">
        <f>ROUND(I1144*J1144,2)</f>
        <v>0</v>
      </c>
    </row>
    <row r="1145" spans="1:12" ht="18.75" customHeight="1">
      <c r="A1145" s="266"/>
      <c r="B1145" s="267" t="s">
        <v>663</v>
      </c>
      <c r="C1145" s="267" t="s">
        <v>664</v>
      </c>
      <c r="D1145" s="267"/>
      <c r="E1145" s="267"/>
      <c r="F1145" s="267"/>
      <c r="G1145" s="266" t="s">
        <v>656</v>
      </c>
      <c r="H1145" s="266"/>
      <c r="I1145" s="268">
        <f>ROUND(I1131*7.7,3)</f>
        <v>0</v>
      </c>
      <c r="J1145" s="380">
        <v>2.56</v>
      </c>
      <c r="K1145" s="380">
        <f>ROUND(I1145*J1145,2)</f>
        <v>0</v>
      </c>
    </row>
    <row r="1146" spans="1:12" ht="18.75" customHeight="1">
      <c r="A1146" s="266"/>
      <c r="B1146" s="267" t="s">
        <v>1558</v>
      </c>
      <c r="C1146" s="267"/>
      <c r="D1146" s="267"/>
      <c r="E1146" s="267"/>
      <c r="F1146" s="267"/>
      <c r="G1146" s="266" t="s">
        <v>656</v>
      </c>
      <c r="H1146" s="266"/>
      <c r="I1146" s="268">
        <f>ROUND(I1128,3)</f>
        <v>0</v>
      </c>
      <c r="J1146" s="380">
        <v>17</v>
      </c>
      <c r="K1146" s="380">
        <f>ROUND(I1146*J1146,2)</f>
        <v>0</v>
      </c>
    </row>
    <row r="1147" spans="1:12" ht="18.75" customHeight="1">
      <c r="A1147" s="266" t="s">
        <v>49</v>
      </c>
      <c r="B1147" s="267" t="s">
        <v>362</v>
      </c>
      <c r="C1147" s="267"/>
      <c r="D1147" s="267"/>
      <c r="E1147" s="267"/>
      <c r="F1147" s="267"/>
      <c r="G1147" s="266" t="s">
        <v>695</v>
      </c>
      <c r="H1147" s="266"/>
      <c r="I1147" s="268">
        <f>0&amp;"%"</f>
        <v>0</v>
      </c>
      <c r="J1147" s="380">
        <f>K1124+K1137+K1138+K1139+K1140+K1142</f>
        <v>0</v>
      </c>
      <c r="K1147" s="380">
        <f>ROUND(I1147*J1147,2)</f>
        <v>0</v>
      </c>
    </row>
    <row r="1148" spans="1:12" ht="18.75" customHeight="1">
      <c r="A1148" s="266" t="s">
        <v>52</v>
      </c>
      <c r="B1148" s="267" t="s">
        <v>363</v>
      </c>
      <c r="C1148" s="267"/>
      <c r="D1148" s="267"/>
      <c r="E1148" s="267"/>
      <c r="F1148" s="267"/>
      <c r="G1148" s="266" t="s">
        <v>695</v>
      </c>
      <c r="H1148" s="266"/>
      <c r="I1148" s="268">
        <f>9&amp;"%"</f>
        <v>0</v>
      </c>
      <c r="J1148" s="380">
        <f>K1124+K1137+K1138+K1139+K1140+K1142+K1147</f>
        <v>0</v>
      </c>
      <c r="K1148" s="380">
        <f>ROUND(I1148*J1148,2)</f>
        <v>0</v>
      </c>
    </row>
    <row r="1149" spans="1:12" ht="18.75" customHeight="1">
      <c r="A1149" s="266"/>
      <c r="B1149" s="267" t="s">
        <v>64</v>
      </c>
      <c r="C1149" s="267"/>
      <c r="D1149" s="267"/>
      <c r="E1149" s="267"/>
      <c r="F1149" s="267"/>
      <c r="G1149" s="266" t="s">
        <v>695</v>
      </c>
      <c r="H1149" s="266"/>
      <c r="I1149" s="268"/>
      <c r="J1149" s="268"/>
      <c r="K1149" s="380">
        <f>K1124+K1137+K1138+K1139+K1140+K1142+K1147+K1148</f>
        <v>0</v>
      </c>
    </row>
    <row r="1150" spans="1:12" ht="18.75" customHeight="1">
      <c r="A1150" s="266"/>
      <c r="B1150" s="267" t="s">
        <v>752</v>
      </c>
      <c r="C1150" s="267"/>
      <c r="D1150" s="267"/>
      <c r="E1150" s="267"/>
      <c r="F1150" s="267"/>
      <c r="G1150" s="266" t="s">
        <v>695</v>
      </c>
      <c r="H1150" s="266"/>
      <c r="I1150" s="268"/>
      <c r="J1150" s="268"/>
      <c r="K1150" s="380">
        <f>ROUND(K1149/100,2)</f>
        <v>0</v>
      </c>
    </row>
    <row r="1151" spans="1:11" ht="18.75" customHeight="1">
      <c r="A1151" s="266"/>
      <c r="B1151" s="267"/>
      <c r="C1151" s="267"/>
      <c r="D1151" s="267"/>
      <c r="E1151" s="267"/>
      <c r="F1151" s="267"/>
      <c r="G1151" s="266"/>
      <c r="H1151" s="266"/>
      <c r="I1151" s="268"/>
      <c r="J1151" s="268"/>
      <c r="K1151" s="268"/>
    </row>
    <row r="1152" spans="1:11" ht="18.75" customHeight="1">
      <c r="A1152" s="266"/>
      <c r="B1152" s="267"/>
      <c r="C1152" s="267"/>
      <c r="D1152" s="267"/>
      <c r="E1152" s="267"/>
      <c r="F1152" s="267"/>
      <c r="G1152" s="266"/>
      <c r="H1152" s="266"/>
      <c r="I1152" s="268"/>
      <c r="J1152" s="268"/>
      <c r="K1152" s="268"/>
    </row>
    <row r="1153" spans="1:11" ht="18.75" customHeight="1">
      <c r="A1153" s="266"/>
      <c r="B1153" s="267"/>
      <c r="C1153" s="267"/>
      <c r="D1153" s="267"/>
      <c r="E1153" s="267"/>
      <c r="F1153" s="267"/>
      <c r="G1153" s="266"/>
      <c r="H1153" s="266"/>
      <c r="I1153" s="268"/>
      <c r="J1153" s="268"/>
      <c r="K1153" s="268"/>
    </row>
    <row r="1154" spans="1:11" ht="18.75" customHeight="1">
      <c r="A1154" s="266"/>
      <c r="B1154" s="267"/>
      <c r="C1154" s="267"/>
      <c r="D1154" s="267"/>
      <c r="E1154" s="267"/>
      <c r="F1154" s="267"/>
      <c r="G1154" s="266"/>
      <c r="H1154" s="266"/>
      <c r="I1154" s="268"/>
      <c r="J1154" s="268"/>
      <c r="K1154" s="268"/>
    </row>
    <row r="1155" spans="1:11" ht="7.5" customHeight="1">
      <c r="A1155" s="259"/>
      <c r="B1155" s="259"/>
      <c r="C1155" s="259"/>
      <c r="D1155" s="259"/>
      <c r="E1155" s="259"/>
      <c r="F1155" s="259"/>
      <c r="G1155" s="259"/>
      <c r="H1155" s="259"/>
      <c r="I1155" s="259"/>
      <c r="J1155" s="259"/>
      <c r="K1155" s="259"/>
    </row>
    <row r="1156" spans="1:11" ht="26.25" customHeight="1">
      <c r="A1156" s="260" t="s">
        <v>684</v>
      </c>
      <c r="B1156" s="260"/>
      <c r="C1156" s="260"/>
      <c r="D1156" s="260"/>
      <c r="E1156" s="260"/>
      <c r="F1156" s="260"/>
      <c r="G1156" s="260"/>
      <c r="H1156" s="260"/>
      <c r="I1156" s="260"/>
      <c r="J1156" s="260"/>
      <c r="K1156" s="260"/>
    </row>
    <row r="1157" spans="1:11" ht="18.75" customHeight="1">
      <c r="A1157" s="261" t="s">
        <v>1672</v>
      </c>
      <c r="B1157" s="261"/>
      <c r="C1157" s="261"/>
      <c r="D1157" s="261"/>
      <c r="E1157" s="261"/>
      <c r="F1157" s="261"/>
      <c r="G1157" s="261"/>
      <c r="H1157" s="261"/>
      <c r="I1157" s="261"/>
      <c r="J1157" s="261"/>
      <c r="K1157" s="261"/>
    </row>
    <row r="1158" spans="1:11" ht="18.75" customHeight="1">
      <c r="A1158" s="262" t="s">
        <v>686</v>
      </c>
      <c r="B1158" s="259" t="s">
        <v>1673</v>
      </c>
      <c r="C1158" s="259"/>
      <c r="D1158" s="259"/>
      <c r="E1158" s="259"/>
      <c r="F1158" s="259"/>
      <c r="G1158" s="259"/>
      <c r="H1158" s="263" t="s">
        <v>1552</v>
      </c>
      <c r="I1158" s="263"/>
      <c r="J1158" s="263"/>
      <c r="K1158" s="263"/>
    </row>
    <row r="1159" spans="1:11" ht="27.75" customHeight="1">
      <c r="A1159" s="264" t="s">
        <v>688</v>
      </c>
      <c r="B1159" s="265" t="s">
        <v>1674</v>
      </c>
      <c r="C1159" s="265"/>
      <c r="D1159" s="265"/>
      <c r="E1159" s="265"/>
      <c r="F1159" s="265"/>
      <c r="G1159" s="265"/>
      <c r="H1159" s="265"/>
      <c r="I1159" s="265"/>
      <c r="J1159" s="265"/>
      <c r="K1159" s="265"/>
    </row>
    <row r="1160" spans="1:12" ht="18.75" customHeight="1">
      <c r="A1160" s="266" t="s">
        <v>28</v>
      </c>
      <c r="B1160" s="266" t="s">
        <v>690</v>
      </c>
      <c r="C1160" s="266" t="s">
        <v>650</v>
      </c>
      <c r="D1160" s="266"/>
      <c r="E1160" s="266"/>
      <c r="F1160" s="266"/>
      <c r="G1160" s="266" t="s">
        <v>651</v>
      </c>
      <c r="H1160" s="266"/>
      <c r="I1160" s="266" t="s">
        <v>691</v>
      </c>
      <c r="J1160" s="266" t="s">
        <v>692</v>
      </c>
      <c r="K1160" s="266" t="s">
        <v>693</v>
      </c>
    </row>
    <row r="1161" spans="1:12" ht="18.75" customHeight="1">
      <c r="A1161" s="266" t="s">
        <v>31</v>
      </c>
      <c r="B1161" s="267" t="s">
        <v>694</v>
      </c>
      <c r="C1161" s="267"/>
      <c r="D1161" s="267"/>
      <c r="E1161" s="267"/>
      <c r="F1161" s="267"/>
      <c r="G1161" s="266" t="s">
        <v>695</v>
      </c>
      <c r="H1161" s="266"/>
      <c r="I1161" s="268"/>
      <c r="J1161" s="268"/>
      <c r="K1161" s="380">
        <f>K1162+K1164+K1167+K1172+K1173</f>
        <v>0</v>
      </c>
    </row>
    <row r="1162" spans="1:12" ht="18.75" customHeight="1">
      <c r="A1162" s="266" t="s">
        <v>76</v>
      </c>
      <c r="B1162" s="267" t="s">
        <v>353</v>
      </c>
      <c r="C1162" s="267"/>
      <c r="D1162" s="267"/>
      <c r="E1162" s="267"/>
      <c r="F1162" s="267"/>
      <c r="G1162" s="266" t="s">
        <v>695</v>
      </c>
      <c r="H1162" s="266"/>
      <c r="I1162" s="268"/>
      <c r="J1162" s="268"/>
      <c r="K1162" s="380">
        <f>SUM(K1163:K1163)</f>
        <v>0</v>
      </c>
    </row>
    <row r="1163" spans="1:12" ht="18.75" customHeight="1">
      <c r="A1163" s="266"/>
      <c r="B1163" s="267" t="s">
        <v>698</v>
      </c>
      <c r="C1163" s="267"/>
      <c r="D1163" s="267"/>
      <c r="E1163" s="267"/>
      <c r="F1163" s="267"/>
      <c r="G1163" s="266" t="s">
        <v>699</v>
      </c>
      <c r="H1163" s="266"/>
      <c r="I1163" s="268">
        <f>ROUND(1856,3)</f>
        <v>0</v>
      </c>
      <c r="J1163" s="380">
        <v>3.46</v>
      </c>
      <c r="K1163" s="380">
        <f>ROUND(I1163*J1163,2)</f>
        <v>0</v>
      </c>
    </row>
    <row r="1164" spans="1:12" ht="18.75" customHeight="1">
      <c r="A1164" s="266" t="s">
        <v>152</v>
      </c>
      <c r="B1164" s="267" t="s">
        <v>354</v>
      </c>
      <c r="C1164" s="267"/>
      <c r="D1164" s="267"/>
      <c r="E1164" s="267"/>
      <c r="F1164" s="267"/>
      <c r="G1164" s="266" t="s">
        <v>695</v>
      </c>
      <c r="H1164" s="266"/>
      <c r="I1164" s="268"/>
      <c r="J1164" s="268"/>
      <c r="K1164" s="380">
        <f>SUM(K1165:K1166)</f>
        <v>0</v>
      </c>
    </row>
    <row r="1165" spans="1:12" ht="18.75" customHeight="1">
      <c r="A1165" s="266"/>
      <c r="B1165" s="267" t="s">
        <v>1558</v>
      </c>
      <c r="C1165" s="267"/>
      <c r="D1165" s="267"/>
      <c r="E1165" s="267"/>
      <c r="F1165" s="267"/>
      <c r="G1165" s="266" t="s">
        <v>656</v>
      </c>
      <c r="H1165" s="266"/>
      <c r="I1165" s="268">
        <f>ROUND(7,3)</f>
        <v>0</v>
      </c>
      <c r="J1165" s="380">
        <v>3</v>
      </c>
      <c r="K1165" s="380">
        <f>ROUND(I1165*J1165,2)</f>
        <v>0</v>
      </c>
    </row>
    <row r="1166" spans="1:12" ht="18.75" customHeight="1">
      <c r="A1166" s="266"/>
      <c r="B1166" s="267" t="s">
        <v>828</v>
      </c>
      <c r="C1166" s="267"/>
      <c r="D1166" s="267"/>
      <c r="E1166" s="267"/>
      <c r="F1166" s="267"/>
      <c r="G1166" s="266" t="s">
        <v>334</v>
      </c>
      <c r="H1166" s="266"/>
      <c r="I1166" s="268">
        <f>ROUND(10,3)</f>
        <v>0</v>
      </c>
      <c r="J1166" s="380">
        <f>K1165</f>
        <v>0</v>
      </c>
      <c r="K1166" s="380">
        <f>ROUND(I1166*J1166/100,2)</f>
        <v>0</v>
      </c>
    </row>
    <row r="1167" spans="1:12" ht="18.75" customHeight="1">
      <c r="A1167" s="266" t="s">
        <v>704</v>
      </c>
      <c r="B1167" s="267" t="s">
        <v>705</v>
      </c>
      <c r="C1167" s="267"/>
      <c r="D1167" s="267"/>
      <c r="E1167" s="267"/>
      <c r="F1167" s="267"/>
      <c r="G1167" s="266" t="s">
        <v>695</v>
      </c>
      <c r="H1167" s="266"/>
      <c r="I1167" s="268"/>
      <c r="J1167" s="268"/>
      <c r="K1167" s="380">
        <f>SUM(K1168:K1171)</f>
        <v>0</v>
      </c>
    </row>
    <row r="1168" spans="1:12" ht="18.75" customHeight="1">
      <c r="A1168" s="266"/>
      <c r="B1168" s="267" t="s">
        <v>1303</v>
      </c>
      <c r="C1168" s="267" t="s">
        <v>1682</v>
      </c>
      <c r="D1168" s="267"/>
      <c r="E1168" s="267"/>
      <c r="F1168" s="267"/>
      <c r="G1168" s="266" t="s">
        <v>709</v>
      </c>
      <c r="H1168" s="266"/>
      <c r="I1168" s="268">
        <f>ROUND(16,3)</f>
        <v>0</v>
      </c>
      <c r="J1168" s="380">
        <v>170.52</v>
      </c>
      <c r="K1168" s="380">
        <f>ROUND(I1168*J1168,2)</f>
        <v>0</v>
      </c>
    </row>
    <row r="1169" spans="1:12" ht="18.75" customHeight="1">
      <c r="A1169" s="266"/>
      <c r="B1169" s="267" t="s">
        <v>1564</v>
      </c>
      <c r="C1169" s="267" t="s">
        <v>1565</v>
      </c>
      <c r="D1169" s="267"/>
      <c r="E1169" s="267"/>
      <c r="F1169" s="267"/>
      <c r="G1169" s="266" t="s">
        <v>709</v>
      </c>
      <c r="H1169" s="266"/>
      <c r="I1169" s="268">
        <f>ROUND(15.54,3)</f>
        <v>0</v>
      </c>
      <c r="J1169" s="380">
        <v>20.39</v>
      </c>
      <c r="K1169" s="380">
        <f>ROUND(I1169*J1169,2)</f>
        <v>0</v>
      </c>
    </row>
    <row r="1170" spans="1:12" ht="18.75" customHeight="1">
      <c r="A1170" s="266"/>
      <c r="B1170" s="267" t="s">
        <v>1568</v>
      </c>
      <c r="C1170" s="267" t="s">
        <v>1569</v>
      </c>
      <c r="D1170" s="267"/>
      <c r="E1170" s="267"/>
      <c r="F1170" s="267"/>
      <c r="G1170" s="266" t="s">
        <v>709</v>
      </c>
      <c r="H1170" s="266"/>
      <c r="I1170" s="268">
        <f>ROUND(2.1,3)</f>
        <v>0</v>
      </c>
      <c r="J1170" s="380">
        <v>6.76</v>
      </c>
      <c r="K1170" s="380">
        <f>ROUND(I1170*J1170,2)</f>
        <v>0</v>
      </c>
    </row>
    <row r="1171" spans="1:12" ht="18.75" customHeight="1">
      <c r="A1171" s="266"/>
      <c r="B1171" s="267" t="s">
        <v>883</v>
      </c>
      <c r="C1171" s="267"/>
      <c r="D1171" s="267"/>
      <c r="E1171" s="267"/>
      <c r="F1171" s="267"/>
      <c r="G1171" s="266" t="s">
        <v>334</v>
      </c>
      <c r="H1171" s="266"/>
      <c r="I1171" s="268">
        <f>ROUND(8,3)</f>
        <v>0</v>
      </c>
      <c r="J1171" s="380">
        <f>K1168+K1169+K1170</f>
        <v>0</v>
      </c>
      <c r="K1171" s="380">
        <f>ROUND(I1171*J1171/100,2)</f>
        <v>0</v>
      </c>
    </row>
    <row r="1172" spans="1:12" ht="18.75" customHeight="1">
      <c r="A1172" s="266" t="s">
        <v>721</v>
      </c>
      <c r="B1172" s="267" t="s">
        <v>722</v>
      </c>
      <c r="C1172" s="267"/>
      <c r="D1172" s="267"/>
      <c r="E1172" s="267"/>
      <c r="F1172" s="267"/>
      <c r="G1172" s="266" t="s">
        <v>695</v>
      </c>
      <c r="H1172" s="266"/>
      <c r="I1172" s="268">
        <f>3.7&amp;"%"</f>
        <v>0</v>
      </c>
      <c r="J1172" s="380">
        <f>K1162+K1164+K1167</f>
        <v>0</v>
      </c>
      <c r="K1172" s="380">
        <f>ROUND(I1172*J1172,2)</f>
        <v>0</v>
      </c>
    </row>
    <row r="1173" spans="1:12" ht="18.75" customHeight="1">
      <c r="A1173" s="266" t="s">
        <v>348</v>
      </c>
      <c r="B1173" s="267" t="s">
        <v>726</v>
      </c>
      <c r="C1173" s="267"/>
      <c r="D1173" s="267"/>
      <c r="E1173" s="267"/>
      <c r="F1173" s="267"/>
      <c r="G1173" s="266" t="s">
        <v>695</v>
      </c>
      <c r="H1173" s="266"/>
      <c r="I1173" s="268">
        <f>45&amp;"%"</f>
        <v>0</v>
      </c>
      <c r="J1173" s="380">
        <f>K1162</f>
        <v>0</v>
      </c>
      <c r="K1173" s="380">
        <f>ROUND(I1173*J1173,2)</f>
        <v>0</v>
      </c>
    </row>
    <row r="1174" spans="1:12" ht="18.75" customHeight="1">
      <c r="A1174" s="266" t="s">
        <v>34</v>
      </c>
      <c r="B1174" s="267" t="s">
        <v>729</v>
      </c>
      <c r="C1174" s="267"/>
      <c r="D1174" s="267"/>
      <c r="E1174" s="267"/>
      <c r="F1174" s="267"/>
      <c r="G1174" s="266" t="s">
        <v>695</v>
      </c>
      <c r="H1174" s="266"/>
      <c r="I1174" s="268">
        <f>47&amp;"%"</f>
        <v>0</v>
      </c>
      <c r="J1174" s="380">
        <f>K1162</f>
        <v>0</v>
      </c>
      <c r="K1174" s="380">
        <f>ROUND(I1174*J1174,2)</f>
        <v>0</v>
      </c>
    </row>
    <row r="1175" spans="1:12" ht="18.75" customHeight="1">
      <c r="A1175" s="266" t="s">
        <v>37</v>
      </c>
      <c r="B1175" s="267" t="s">
        <v>732</v>
      </c>
      <c r="C1175" s="267"/>
      <c r="D1175" s="267"/>
      <c r="E1175" s="267"/>
      <c r="F1175" s="267"/>
      <c r="G1175" s="266" t="s">
        <v>695</v>
      </c>
      <c r="H1175" s="266"/>
      <c r="I1175" s="268">
        <f>32.8&amp;"%"</f>
        <v>0</v>
      </c>
      <c r="J1175" s="380">
        <f>K1162+ROUND(I1168*2.7*3.46,2)+ROUND(I1169*1.3*3.46,2)+ROUND(I1170*1.3*3.46,2)</f>
        <v>0</v>
      </c>
      <c r="K1175" s="380">
        <f>ROUND(I1175*J1175,2)</f>
        <v>0</v>
      </c>
    </row>
    <row r="1176" spans="1:12" ht="18.75" customHeight="1">
      <c r="A1176" s="266" t="s">
        <v>40</v>
      </c>
      <c r="B1176" s="267" t="s">
        <v>736</v>
      </c>
      <c r="C1176" s="267"/>
      <c r="D1176" s="267"/>
      <c r="E1176" s="267"/>
      <c r="F1176" s="267"/>
      <c r="G1176" s="266" t="s">
        <v>695</v>
      </c>
      <c r="H1176" s="266"/>
      <c r="I1176" s="268">
        <f>7&amp;"%"</f>
        <v>0</v>
      </c>
      <c r="J1176" s="380">
        <f>K1161+K1174+K1175</f>
        <v>0</v>
      </c>
      <c r="K1176" s="380">
        <f>ROUND(I1176*J1176,2)</f>
        <v>0</v>
      </c>
    </row>
    <row r="1177" spans="1:12" ht="18.75" customHeight="1">
      <c r="A1177" s="266" t="s">
        <v>43</v>
      </c>
      <c r="B1177" s="267" t="s">
        <v>1584</v>
      </c>
      <c r="C1177" s="267"/>
      <c r="D1177" s="267"/>
      <c r="E1177" s="267"/>
      <c r="F1177" s="267"/>
      <c r="G1177" s="266" t="s">
        <v>695</v>
      </c>
      <c r="H1177" s="266"/>
      <c r="I1177" s="268"/>
      <c r="J1177" s="268"/>
      <c r="K1177" s="380">
        <f>SUM(K1178:K1178)</f>
        <v>0</v>
      </c>
    </row>
    <row r="1178" spans="1:12" ht="18.75" customHeight="1">
      <c r="A1178" s="266"/>
      <c r="B1178" s="267" t="s">
        <v>1586</v>
      </c>
      <c r="C1178" s="267" t="s">
        <v>1699</v>
      </c>
      <c r="D1178" s="267"/>
      <c r="E1178" s="267"/>
      <c r="F1178" s="267"/>
      <c r="G1178" s="266" t="s">
        <v>113</v>
      </c>
      <c r="H1178" s="266"/>
      <c r="I1178" s="268">
        <f>ROUND(100,3)</f>
        <v>0</v>
      </c>
      <c r="J1178" s="380">
        <v>600</v>
      </c>
      <c r="K1178" s="380">
        <f>ROUND(I1178*J1178,2)</f>
        <v>0</v>
      </c>
    </row>
    <row r="1179" spans="1:12" ht="18.75" customHeight="1">
      <c r="A1179" s="266" t="s">
        <v>46</v>
      </c>
      <c r="B1179" s="267" t="s">
        <v>361</v>
      </c>
      <c r="C1179" s="267"/>
      <c r="D1179" s="267"/>
      <c r="E1179" s="267"/>
      <c r="F1179" s="267"/>
      <c r="G1179" s="266" t="s">
        <v>695</v>
      </c>
      <c r="H1179" s="266"/>
      <c r="I1179" s="268"/>
      <c r="J1179" s="268"/>
      <c r="K1179" s="380">
        <f>SUM(K1180:K1183)</f>
        <v>0</v>
      </c>
    </row>
    <row r="1180" spans="1:12" ht="18.75" customHeight="1">
      <c r="A1180" s="266"/>
      <c r="B1180" s="267" t="s">
        <v>698</v>
      </c>
      <c r="C1180" s="267"/>
      <c r="D1180" s="267"/>
      <c r="E1180" s="267"/>
      <c r="F1180" s="267"/>
      <c r="G1180" s="266" t="s">
        <v>699</v>
      </c>
      <c r="H1180" s="266"/>
      <c r="I1180" s="268">
        <f>ROUND(I1163,3)</f>
        <v>0</v>
      </c>
      <c r="J1180" s="380">
        <v>4</v>
      </c>
      <c r="K1180" s="380">
        <f>ROUND(I1180*J1180,2)</f>
        <v>0</v>
      </c>
    </row>
    <row r="1181" spans="1:12" ht="18.75" customHeight="1">
      <c r="A1181" s="266"/>
      <c r="B1181" s="267" t="s">
        <v>741</v>
      </c>
      <c r="C1181" s="267"/>
      <c r="D1181" s="267"/>
      <c r="E1181" s="267"/>
      <c r="F1181" s="267"/>
      <c r="G1181" s="266" t="s">
        <v>699</v>
      </c>
      <c r="H1181" s="266"/>
      <c r="I1181" s="268">
        <f>ROUND(I1168*2.7+I1169*1.3+I1170*1.3,3)</f>
        <v>0</v>
      </c>
      <c r="J1181" s="380">
        <v>4</v>
      </c>
      <c r="K1181" s="380">
        <f>ROUND(I1181*J1181,2)</f>
        <v>0</v>
      </c>
    </row>
    <row r="1182" spans="1:12" ht="18.75" customHeight="1">
      <c r="A1182" s="266"/>
      <c r="B1182" s="267" t="s">
        <v>663</v>
      </c>
      <c r="C1182" s="267" t="s">
        <v>664</v>
      </c>
      <c r="D1182" s="267"/>
      <c r="E1182" s="267"/>
      <c r="F1182" s="267"/>
      <c r="G1182" s="266" t="s">
        <v>656</v>
      </c>
      <c r="H1182" s="266"/>
      <c r="I1182" s="268">
        <f>ROUND(I1168*14.7,3)</f>
        <v>0</v>
      </c>
      <c r="J1182" s="380">
        <v>2.56</v>
      </c>
      <c r="K1182" s="380">
        <f>ROUND(I1182*J1182,2)</f>
        <v>0</v>
      </c>
    </row>
    <row r="1183" spans="1:12" ht="18.75" customHeight="1">
      <c r="A1183" s="266"/>
      <c r="B1183" s="267" t="s">
        <v>1558</v>
      </c>
      <c r="C1183" s="267"/>
      <c r="D1183" s="267"/>
      <c r="E1183" s="267"/>
      <c r="F1183" s="267"/>
      <c r="G1183" s="266" t="s">
        <v>656</v>
      </c>
      <c r="H1183" s="266"/>
      <c r="I1183" s="268">
        <f>ROUND(I1165,3)</f>
        <v>0</v>
      </c>
      <c r="J1183" s="380">
        <v>17</v>
      </c>
      <c r="K1183" s="380">
        <f>ROUND(I1183*J1183,2)</f>
        <v>0</v>
      </c>
    </row>
    <row r="1184" spans="1:12" ht="18.75" customHeight="1">
      <c r="A1184" s="266" t="s">
        <v>49</v>
      </c>
      <c r="B1184" s="267" t="s">
        <v>362</v>
      </c>
      <c r="C1184" s="267"/>
      <c r="D1184" s="267"/>
      <c r="E1184" s="267"/>
      <c r="F1184" s="267"/>
      <c r="G1184" s="266" t="s">
        <v>695</v>
      </c>
      <c r="H1184" s="266"/>
      <c r="I1184" s="268">
        <f>0&amp;"%"</f>
        <v>0</v>
      </c>
      <c r="J1184" s="380">
        <f>K1161+K1174+K1175+K1176+K1177+K1179</f>
        <v>0</v>
      </c>
      <c r="K1184" s="380">
        <f>ROUND(I1184*J1184,2)</f>
        <v>0</v>
      </c>
    </row>
    <row r="1185" spans="1:12" ht="18.75" customHeight="1">
      <c r="A1185" s="266" t="s">
        <v>52</v>
      </c>
      <c r="B1185" s="267" t="s">
        <v>363</v>
      </c>
      <c r="C1185" s="267"/>
      <c r="D1185" s="267"/>
      <c r="E1185" s="267"/>
      <c r="F1185" s="267"/>
      <c r="G1185" s="266" t="s">
        <v>695</v>
      </c>
      <c r="H1185" s="266"/>
      <c r="I1185" s="268">
        <f>9&amp;"%"</f>
        <v>0</v>
      </c>
      <c r="J1185" s="380">
        <f>K1161+K1174+K1175+K1176+K1177+K1179+K1184</f>
        <v>0</v>
      </c>
      <c r="K1185" s="380">
        <f>ROUND(I1185*J1185,2)</f>
        <v>0</v>
      </c>
    </row>
    <row r="1186" spans="1:12" ht="18.75" customHeight="1">
      <c r="A1186" s="266"/>
      <c r="B1186" s="267" t="s">
        <v>64</v>
      </c>
      <c r="C1186" s="267"/>
      <c r="D1186" s="267"/>
      <c r="E1186" s="267"/>
      <c r="F1186" s="267"/>
      <c r="G1186" s="266" t="s">
        <v>695</v>
      </c>
      <c r="H1186" s="266"/>
      <c r="I1186" s="268"/>
      <c r="J1186" s="268"/>
      <c r="K1186" s="380">
        <f>K1161+K1174+K1175+K1176+K1177+K1179+K1184+K1185</f>
        <v>0</v>
      </c>
    </row>
    <row r="1187" spans="1:12" ht="18.75" customHeight="1">
      <c r="A1187" s="266"/>
      <c r="B1187" s="267" t="s">
        <v>752</v>
      </c>
      <c r="C1187" s="267"/>
      <c r="D1187" s="267"/>
      <c r="E1187" s="267"/>
      <c r="F1187" s="267"/>
      <c r="G1187" s="266" t="s">
        <v>695</v>
      </c>
      <c r="H1187" s="266"/>
      <c r="I1187" s="268"/>
      <c r="J1187" s="268"/>
      <c r="K1187" s="380">
        <f>ROUND(K1186/100,2)</f>
        <v>0</v>
      </c>
    </row>
    <row r="1188" spans="1:11" ht="18.75" customHeight="1">
      <c r="A1188" s="266"/>
      <c r="B1188" s="267"/>
      <c r="C1188" s="267"/>
      <c r="D1188" s="267"/>
      <c r="E1188" s="267"/>
      <c r="F1188" s="267"/>
      <c r="G1188" s="266"/>
      <c r="H1188" s="266"/>
      <c r="I1188" s="268"/>
      <c r="J1188" s="268"/>
      <c r="K1188" s="268"/>
    </row>
    <row r="1189" spans="1:11" ht="18.75" customHeight="1">
      <c r="A1189" s="266"/>
      <c r="B1189" s="267"/>
      <c r="C1189" s="267"/>
      <c r="D1189" s="267"/>
      <c r="E1189" s="267"/>
      <c r="F1189" s="267"/>
      <c r="G1189" s="266"/>
      <c r="H1189" s="266"/>
      <c r="I1189" s="268"/>
      <c r="J1189" s="268"/>
      <c r="K1189" s="268"/>
    </row>
    <row r="1190" spans="1:11" ht="18.75" customHeight="1">
      <c r="A1190" s="266"/>
      <c r="B1190" s="267"/>
      <c r="C1190" s="267"/>
      <c r="D1190" s="267"/>
      <c r="E1190" s="267"/>
      <c r="F1190" s="267"/>
      <c r="G1190" s="266"/>
      <c r="H1190" s="266"/>
      <c r="I1190" s="268"/>
      <c r="J1190" s="268"/>
      <c r="K1190" s="268"/>
    </row>
    <row r="1191" spans="1:11" ht="18.75" customHeight="1">
      <c r="A1191" s="266"/>
      <c r="B1191" s="267"/>
      <c r="C1191" s="267"/>
      <c r="D1191" s="267"/>
      <c r="E1191" s="267"/>
      <c r="F1191" s="267"/>
      <c r="G1191" s="266"/>
      <c r="H1191" s="266"/>
      <c r="I1191" s="268"/>
      <c r="J1191" s="268"/>
      <c r="K1191" s="268"/>
    </row>
    <row r="1192" spans="1:11" ht="7.5" customHeight="1">
      <c r="A1192" s="259"/>
      <c r="B1192" s="259"/>
      <c r="C1192" s="259"/>
      <c r="D1192" s="259"/>
      <c r="E1192" s="259"/>
      <c r="F1192" s="259"/>
      <c r="G1192" s="259"/>
      <c r="H1192" s="259"/>
      <c r="I1192" s="259"/>
      <c r="J1192" s="259"/>
      <c r="K1192" s="259"/>
    </row>
    <row r="1193" spans="1:11" ht="26.25" customHeight="1">
      <c r="A1193" s="260" t="s">
        <v>684</v>
      </c>
      <c r="B1193" s="260"/>
      <c r="C1193" s="260"/>
      <c r="D1193" s="260"/>
      <c r="E1193" s="260"/>
      <c r="F1193" s="260"/>
      <c r="G1193" s="260"/>
      <c r="H1193" s="260"/>
      <c r="I1193" s="260"/>
      <c r="J1193" s="260"/>
      <c r="K1193" s="260"/>
    </row>
    <row r="1194" spans="1:11" ht="18.75" customHeight="1">
      <c r="A1194" s="261" t="s">
        <v>1711</v>
      </c>
      <c r="B1194" s="261"/>
      <c r="C1194" s="261"/>
      <c r="D1194" s="261"/>
      <c r="E1194" s="261"/>
      <c r="F1194" s="261"/>
      <c r="G1194" s="261"/>
      <c r="H1194" s="261"/>
      <c r="I1194" s="261"/>
      <c r="J1194" s="261"/>
      <c r="K1194" s="261"/>
    </row>
    <row r="1195" spans="1:11" ht="18.75" customHeight="1">
      <c r="A1195" s="262" t="s">
        <v>686</v>
      </c>
      <c r="B1195" s="259" t="s">
        <v>1712</v>
      </c>
      <c r="C1195" s="259"/>
      <c r="D1195" s="259"/>
      <c r="E1195" s="259"/>
      <c r="F1195" s="259"/>
      <c r="G1195" s="259"/>
      <c r="H1195" s="263" t="s">
        <v>1713</v>
      </c>
      <c r="I1195" s="263"/>
      <c r="J1195" s="263"/>
      <c r="K1195" s="263"/>
    </row>
    <row r="1196" spans="1:11" ht="27.75" customHeight="1">
      <c r="A1196" s="264" t="s">
        <v>688</v>
      </c>
      <c r="B1196" s="265" t="s">
        <v>1714</v>
      </c>
      <c r="C1196" s="265"/>
      <c r="D1196" s="265"/>
      <c r="E1196" s="265"/>
      <c r="F1196" s="265"/>
      <c r="G1196" s="265"/>
      <c r="H1196" s="265"/>
      <c r="I1196" s="265"/>
      <c r="J1196" s="265"/>
      <c r="K1196" s="265"/>
    </row>
    <row r="1197" spans="1:12" ht="18.75" customHeight="1">
      <c r="A1197" s="266" t="s">
        <v>28</v>
      </c>
      <c r="B1197" s="266" t="s">
        <v>690</v>
      </c>
      <c r="C1197" s="266" t="s">
        <v>650</v>
      </c>
      <c r="D1197" s="266"/>
      <c r="E1197" s="266"/>
      <c r="F1197" s="266"/>
      <c r="G1197" s="266" t="s">
        <v>651</v>
      </c>
      <c r="H1197" s="266"/>
      <c r="I1197" s="266" t="s">
        <v>691</v>
      </c>
      <c r="J1197" s="266" t="s">
        <v>692</v>
      </c>
      <c r="K1197" s="266" t="s">
        <v>693</v>
      </c>
    </row>
    <row r="1198" spans="1:12" ht="18.75" customHeight="1">
      <c r="A1198" s="266" t="s">
        <v>31</v>
      </c>
      <c r="B1198" s="267" t="s">
        <v>694</v>
      </c>
      <c r="C1198" s="267"/>
      <c r="D1198" s="267"/>
      <c r="E1198" s="267"/>
      <c r="F1198" s="267"/>
      <c r="G1198" s="266" t="s">
        <v>695</v>
      </c>
      <c r="H1198" s="266"/>
      <c r="I1198" s="268"/>
      <c r="J1198" s="268"/>
      <c r="K1198" s="380">
        <f>K1199+K1202+K1208+K1214+K1215</f>
        <v>0</v>
      </c>
    </row>
    <row r="1199" spans="1:12" ht="18.75" customHeight="1">
      <c r="A1199" s="266" t="s">
        <v>76</v>
      </c>
      <c r="B1199" s="267" t="s">
        <v>353</v>
      </c>
      <c r="C1199" s="267"/>
      <c r="D1199" s="267"/>
      <c r="E1199" s="267"/>
      <c r="F1199" s="267"/>
      <c r="G1199" s="266" t="s">
        <v>695</v>
      </c>
      <c r="H1199" s="266"/>
      <c r="I1199" s="268"/>
      <c r="J1199" s="268"/>
      <c r="K1199" s="380">
        <f>SUM(K1200:K1201)</f>
        <v>0</v>
      </c>
    </row>
    <row r="1200" spans="1:12" ht="18.75" customHeight="1">
      <c r="A1200" s="266"/>
      <c r="B1200" s="267" t="s">
        <v>698</v>
      </c>
      <c r="C1200" s="267"/>
      <c r="D1200" s="267"/>
      <c r="E1200" s="267"/>
      <c r="F1200" s="267"/>
      <c r="G1200" s="266" t="s">
        <v>699</v>
      </c>
      <c r="H1200" s="266"/>
      <c r="I1200" s="268">
        <f>ROUND(1914.7,3)</f>
        <v>0</v>
      </c>
      <c r="J1200" s="380">
        <v>3.46</v>
      </c>
      <c r="K1200" s="380">
        <f>ROUND(I1200*J1200,2)</f>
        <v>0</v>
      </c>
    </row>
    <row r="1201" spans="1:12" ht="18.75" customHeight="1">
      <c r="A1201" s="266"/>
      <c r="B1201" s="267" t="s">
        <v>698</v>
      </c>
      <c r="C1201" s="267"/>
      <c r="D1201" s="267"/>
      <c r="E1201" s="267"/>
      <c r="F1201" s="267"/>
      <c r="G1201" s="266" t="s">
        <v>699</v>
      </c>
      <c r="H1201" s="266"/>
      <c r="I1201" s="268">
        <f>ROUND(92.7*5,3)</f>
        <v>0</v>
      </c>
      <c r="J1201" s="380">
        <v>3.46</v>
      </c>
      <c r="K1201" s="380">
        <f>ROUND(I1201*J1201,2)</f>
        <v>0</v>
      </c>
    </row>
    <row r="1202" spans="1:12" ht="18.75" customHeight="1">
      <c r="A1202" s="266" t="s">
        <v>152</v>
      </c>
      <c r="B1202" s="267" t="s">
        <v>354</v>
      </c>
      <c r="C1202" s="267"/>
      <c r="D1202" s="267"/>
      <c r="E1202" s="267"/>
      <c r="F1202" s="267"/>
      <c r="G1202" s="266" t="s">
        <v>695</v>
      </c>
      <c r="H1202" s="266"/>
      <c r="I1202" s="268"/>
      <c r="J1202" s="268"/>
      <c r="K1202" s="380">
        <f>SUM(K1203:K1207)</f>
        <v>0</v>
      </c>
    </row>
    <row r="1203" spans="1:12" ht="18.75" customHeight="1">
      <c r="A1203" s="266"/>
      <c r="B1203" s="267" t="s">
        <v>669</v>
      </c>
      <c r="C1203" s="267"/>
      <c r="D1203" s="267"/>
      <c r="E1203" s="267"/>
      <c r="F1203" s="267"/>
      <c r="G1203" s="266" t="s">
        <v>81</v>
      </c>
      <c r="H1203" s="266"/>
      <c r="I1203" s="268">
        <f>ROUND(0.23,3)</f>
        <v>0</v>
      </c>
      <c r="J1203" s="380">
        <v>800</v>
      </c>
      <c r="K1203" s="380">
        <f>ROUND(I1203*J1203,2)</f>
        <v>0</v>
      </c>
    </row>
    <row r="1204" spans="1:12" ht="27.75" customHeight="1">
      <c r="A1204" s="266"/>
      <c r="B1204" s="267" t="s">
        <v>1030</v>
      </c>
      <c r="C1204" s="267" t="s">
        <v>1031</v>
      </c>
      <c r="D1204" s="267"/>
      <c r="E1204" s="267"/>
      <c r="F1204" s="267"/>
      <c r="G1204" s="266" t="s">
        <v>81</v>
      </c>
      <c r="H1204" s="266"/>
      <c r="I1204" s="268">
        <f>ROUND(153,3)</f>
        <v>0</v>
      </c>
      <c r="J1204" s="380">
        <v>114.45</v>
      </c>
      <c r="K1204" s="380">
        <f>ROUND(I1204*J1204,2)</f>
        <v>0</v>
      </c>
    </row>
    <row r="1205" spans="1:12" ht="18.75" customHeight="1">
      <c r="A1205" s="266"/>
      <c r="B1205" s="267" t="s">
        <v>828</v>
      </c>
      <c r="C1205" s="267"/>
      <c r="D1205" s="267"/>
      <c r="E1205" s="267"/>
      <c r="F1205" s="267"/>
      <c r="G1205" s="266" t="s">
        <v>334</v>
      </c>
      <c r="H1205" s="266"/>
      <c r="I1205" s="268">
        <f>ROUND(2,3)</f>
        <v>0</v>
      </c>
      <c r="J1205" s="380">
        <f>K1203+K1204</f>
        <v>0</v>
      </c>
      <c r="K1205" s="380">
        <f>ROUND(I1205*J1205/100,2)</f>
        <v>0</v>
      </c>
    </row>
    <row r="1206" spans="1:12" ht="18.75" customHeight="1">
      <c r="A1206" s="266"/>
      <c r="B1206" s="267" t="s">
        <v>669</v>
      </c>
      <c r="C1206" s="267"/>
      <c r="D1206" s="267"/>
      <c r="E1206" s="267"/>
      <c r="F1206" s="267"/>
      <c r="G1206" s="266" t="s">
        <v>81</v>
      </c>
      <c r="H1206" s="266"/>
      <c r="I1206" s="268">
        <f>ROUND(0.01*5,3)</f>
        <v>0</v>
      </c>
      <c r="J1206" s="380">
        <v>800</v>
      </c>
      <c r="K1206" s="380">
        <f>ROUND(I1206*J1206,2)</f>
        <v>0</v>
      </c>
    </row>
    <row r="1207" spans="1:12" ht="27.75" customHeight="1">
      <c r="A1207" s="266"/>
      <c r="B1207" s="267" t="s">
        <v>1030</v>
      </c>
      <c r="C1207" s="267" t="s">
        <v>1031</v>
      </c>
      <c r="D1207" s="267"/>
      <c r="E1207" s="267"/>
      <c r="F1207" s="267"/>
      <c r="G1207" s="266" t="s">
        <v>81</v>
      </c>
      <c r="H1207" s="266"/>
      <c r="I1207" s="268">
        <f>ROUND(10.2*5,3)</f>
        <v>0</v>
      </c>
      <c r="J1207" s="380">
        <v>114.45</v>
      </c>
      <c r="K1207" s="380">
        <f>ROUND(I1207*J1207,2)</f>
        <v>0</v>
      </c>
    </row>
    <row r="1208" spans="1:12" ht="18.75" customHeight="1">
      <c r="A1208" s="266" t="s">
        <v>704</v>
      </c>
      <c r="B1208" s="267" t="s">
        <v>705</v>
      </c>
      <c r="C1208" s="267"/>
      <c r="D1208" s="267"/>
      <c r="E1208" s="267"/>
      <c r="F1208" s="267"/>
      <c r="G1208" s="266" t="s">
        <v>695</v>
      </c>
      <c r="H1208" s="266"/>
      <c r="I1208" s="268"/>
      <c r="J1208" s="268"/>
      <c r="K1208" s="380">
        <f>SUM(K1209:K1213)</f>
        <v>0</v>
      </c>
    </row>
    <row r="1209" spans="1:12" ht="18.75" customHeight="1">
      <c r="A1209" s="266"/>
      <c r="B1209" s="267" t="s">
        <v>1053</v>
      </c>
      <c r="C1209" s="267" t="s">
        <v>1054</v>
      </c>
      <c r="D1209" s="267"/>
      <c r="E1209" s="267"/>
      <c r="F1209" s="267"/>
      <c r="G1209" s="266" t="s">
        <v>709</v>
      </c>
      <c r="H1209" s="266"/>
      <c r="I1209" s="268">
        <f>ROUND(24,3)</f>
        <v>0</v>
      </c>
      <c r="J1209" s="380">
        <v>20.6</v>
      </c>
      <c r="K1209" s="380">
        <f>ROUND(I1209*J1209,2)</f>
        <v>0</v>
      </c>
    </row>
    <row r="1210" spans="1:12" ht="18.75" customHeight="1">
      <c r="A1210" s="266"/>
      <c r="B1210" s="267" t="s">
        <v>716</v>
      </c>
      <c r="C1210" s="267" t="s">
        <v>717</v>
      </c>
      <c r="D1210" s="267"/>
      <c r="E1210" s="267"/>
      <c r="F1210" s="267"/>
      <c r="G1210" s="266" t="s">
        <v>709</v>
      </c>
      <c r="H1210" s="266"/>
      <c r="I1210" s="268">
        <f>ROUND(25,3)</f>
        <v>0</v>
      </c>
      <c r="J1210" s="380">
        <v>67.52</v>
      </c>
      <c r="K1210" s="380">
        <f>ROUND(I1210*J1210,2)</f>
        <v>0</v>
      </c>
    </row>
    <row r="1211" spans="1:12" ht="18.75" customHeight="1">
      <c r="A1211" s="266"/>
      <c r="B1211" s="267" t="s">
        <v>883</v>
      </c>
      <c r="C1211" s="267"/>
      <c r="D1211" s="267"/>
      <c r="E1211" s="267"/>
      <c r="F1211" s="267"/>
      <c r="G1211" s="266" t="s">
        <v>334</v>
      </c>
      <c r="H1211" s="266"/>
      <c r="I1211" s="268">
        <f>ROUND(5,3)</f>
        <v>0</v>
      </c>
      <c r="J1211" s="380">
        <f>K1209+K1210</f>
        <v>0</v>
      </c>
      <c r="K1211" s="380">
        <f>ROUND(I1211*J1211/100,2)</f>
        <v>0</v>
      </c>
    </row>
    <row r="1212" spans="1:12" ht="18.75" customHeight="1">
      <c r="A1212" s="266"/>
      <c r="B1212" s="267" t="s">
        <v>1053</v>
      </c>
      <c r="C1212" s="267" t="s">
        <v>1054</v>
      </c>
      <c r="D1212" s="267"/>
      <c r="E1212" s="267"/>
      <c r="F1212" s="267"/>
      <c r="G1212" s="266" t="s">
        <v>709</v>
      </c>
      <c r="H1212" s="266"/>
      <c r="I1212" s="268">
        <f>ROUND(1.8*5,3)</f>
        <v>0</v>
      </c>
      <c r="J1212" s="380">
        <v>20.6</v>
      </c>
      <c r="K1212" s="380">
        <f>ROUND(I1212*J1212,2)</f>
        <v>0</v>
      </c>
    </row>
    <row r="1213" spans="1:12" ht="18.75" customHeight="1">
      <c r="A1213" s="266"/>
      <c r="B1213" s="267" t="s">
        <v>716</v>
      </c>
      <c r="C1213" s="267" t="s">
        <v>717</v>
      </c>
      <c r="D1213" s="267"/>
      <c r="E1213" s="267"/>
      <c r="F1213" s="267"/>
      <c r="G1213" s="266" t="s">
        <v>709</v>
      </c>
      <c r="H1213" s="266"/>
      <c r="I1213" s="268">
        <f>ROUND(1.7*5,3)</f>
        <v>0</v>
      </c>
      <c r="J1213" s="380">
        <v>67.52</v>
      </c>
      <c r="K1213" s="380">
        <f>ROUND(I1213*J1213,2)</f>
        <v>0</v>
      </c>
    </row>
    <row r="1214" spans="1:12" ht="18.75" customHeight="1">
      <c r="A1214" s="266" t="s">
        <v>721</v>
      </c>
      <c r="B1214" s="267" t="s">
        <v>722</v>
      </c>
      <c r="C1214" s="267"/>
      <c r="D1214" s="267"/>
      <c r="E1214" s="267"/>
      <c r="F1214" s="267"/>
      <c r="G1214" s="266" t="s">
        <v>695</v>
      </c>
      <c r="H1214" s="266"/>
      <c r="I1214" s="268">
        <f>3.5&amp;"%"</f>
        <v>0</v>
      </c>
      <c r="J1214" s="380">
        <f>K1199+K1202+K1208</f>
        <v>0</v>
      </c>
      <c r="K1214" s="380">
        <f>ROUND(I1214*J1214,2)</f>
        <v>0</v>
      </c>
    </row>
    <row r="1215" spans="1:12" ht="18.75" customHeight="1">
      <c r="A1215" s="266" t="s">
        <v>348</v>
      </c>
      <c r="B1215" s="267" t="s">
        <v>726</v>
      </c>
      <c r="C1215" s="267"/>
      <c r="D1215" s="267"/>
      <c r="E1215" s="267"/>
      <c r="F1215" s="267"/>
      <c r="G1215" s="266" t="s">
        <v>695</v>
      </c>
      <c r="H1215" s="266"/>
      <c r="I1215" s="268">
        <f>5&amp;"%"</f>
        <v>0</v>
      </c>
      <c r="J1215" s="380">
        <f>K1199+K1202+K1208</f>
        <v>0</v>
      </c>
      <c r="K1215" s="380">
        <f>ROUND(I1215*J1215,2)</f>
        <v>0</v>
      </c>
    </row>
    <row r="1216" spans="1:12" ht="18.75" customHeight="1">
      <c r="A1216" s="266" t="s">
        <v>34</v>
      </c>
      <c r="B1216" s="267" t="s">
        <v>729</v>
      </c>
      <c r="C1216" s="267"/>
      <c r="D1216" s="267"/>
      <c r="E1216" s="267"/>
      <c r="F1216" s="267"/>
      <c r="G1216" s="266" t="s">
        <v>695</v>
      </c>
      <c r="H1216" s="266"/>
      <c r="I1216" s="268">
        <f>4.8&amp;"%"</f>
        <v>0</v>
      </c>
      <c r="J1216" s="380">
        <f>K1198</f>
        <v>0</v>
      </c>
      <c r="K1216" s="380">
        <f>ROUND(I1216*J1216,2)</f>
        <v>0</v>
      </c>
    </row>
    <row r="1217" spans="1:12" ht="18.75" customHeight="1">
      <c r="A1217" s="266" t="s">
        <v>37</v>
      </c>
      <c r="B1217" s="267" t="s">
        <v>732</v>
      </c>
      <c r="C1217" s="267"/>
      <c r="D1217" s="267"/>
      <c r="E1217" s="267"/>
      <c r="F1217" s="267"/>
      <c r="G1217" s="266" t="s">
        <v>695</v>
      </c>
      <c r="H1217" s="266"/>
      <c r="I1217" s="268">
        <f>32.8&amp;"%"</f>
        <v>0</v>
      </c>
      <c r="J1217" s="380">
        <f>K1199+ROUND(I1209*1.3*3.46,2)+ROUND(I1210*1.3*3.46,2)+ROUND(I1212*1.3*3.46,2)+ROUND(I1213*1.3*3.46,2)</f>
        <v>0</v>
      </c>
      <c r="K1217" s="380">
        <f>ROUND(I1217*J1217,2)</f>
        <v>0</v>
      </c>
    </row>
    <row r="1218" spans="1:12" ht="18.75" customHeight="1">
      <c r="A1218" s="266" t="s">
        <v>40</v>
      </c>
      <c r="B1218" s="267" t="s">
        <v>736</v>
      </c>
      <c r="C1218" s="267"/>
      <c r="D1218" s="267"/>
      <c r="E1218" s="267"/>
      <c r="F1218" s="267"/>
      <c r="G1218" s="266" t="s">
        <v>695</v>
      </c>
      <c r="H1218" s="266"/>
      <c r="I1218" s="268">
        <f>7&amp;"%"</f>
        <v>0</v>
      </c>
      <c r="J1218" s="380">
        <f>K1198+K1216+K1217</f>
        <v>0</v>
      </c>
      <c r="K1218" s="380">
        <f>ROUND(I1218*J1218,2)</f>
        <v>0</v>
      </c>
    </row>
    <row r="1219" spans="1:12" ht="18.75" customHeight="1">
      <c r="A1219" s="266" t="s">
        <v>43</v>
      </c>
      <c r="B1219" s="267" t="s">
        <v>361</v>
      </c>
      <c r="C1219" s="267"/>
      <c r="D1219" s="267"/>
      <c r="E1219" s="267"/>
      <c r="F1219" s="267"/>
      <c r="G1219" s="266" t="s">
        <v>695</v>
      </c>
      <c r="H1219" s="266"/>
      <c r="I1219" s="268"/>
      <c r="J1219" s="268"/>
      <c r="K1219" s="380">
        <f>SUM(K1220:K1226)</f>
        <v>0</v>
      </c>
    </row>
    <row r="1220" spans="1:12" ht="18.75" customHeight="1">
      <c r="A1220" s="266"/>
      <c r="B1220" s="267" t="s">
        <v>698</v>
      </c>
      <c r="C1220" s="267"/>
      <c r="D1220" s="267"/>
      <c r="E1220" s="267"/>
      <c r="F1220" s="267"/>
      <c r="G1220" s="266" t="s">
        <v>699</v>
      </c>
      <c r="H1220" s="266"/>
      <c r="I1220" s="268">
        <f>ROUND(I1200+I1201,3)</f>
        <v>0</v>
      </c>
      <c r="J1220" s="380">
        <v>4</v>
      </c>
      <c r="K1220" s="380">
        <f>ROUND(I1220*J1220,2)</f>
        <v>0</v>
      </c>
    </row>
    <row r="1221" spans="1:12" ht="18.75" customHeight="1">
      <c r="A1221" s="266"/>
      <c r="B1221" s="267" t="s">
        <v>741</v>
      </c>
      <c r="C1221" s="267"/>
      <c r="D1221" s="267"/>
      <c r="E1221" s="267"/>
      <c r="F1221" s="267"/>
      <c r="G1221" s="266" t="s">
        <v>699</v>
      </c>
      <c r="H1221" s="266"/>
      <c r="I1221" s="268">
        <f>ROUND(I1209*1.3+I1210*1.3+I1212*1.3+I1213*1.3,3)</f>
        <v>0</v>
      </c>
      <c r="J1221" s="380">
        <v>4</v>
      </c>
      <c r="K1221" s="380">
        <f>ROUND(I1221*J1221,2)</f>
        <v>0</v>
      </c>
    </row>
    <row r="1222" spans="1:12" ht="18.75" customHeight="1">
      <c r="A1222" s="266"/>
      <c r="B1222" s="267" t="s">
        <v>658</v>
      </c>
      <c r="C1222" s="267" t="s">
        <v>659</v>
      </c>
      <c r="D1222" s="267"/>
      <c r="E1222" s="267"/>
      <c r="F1222" s="267"/>
      <c r="G1222" s="266" t="s">
        <v>149</v>
      </c>
      <c r="H1222" s="266"/>
      <c r="I1222" s="268">
        <f>ROUND(I1204*287.1*0.001+I1207*287.1*0.001,3)</f>
        <v>0</v>
      </c>
      <c r="J1222" s="380">
        <v>206.26</v>
      </c>
      <c r="K1222" s="380">
        <f>ROUND(I1222*J1222,2)</f>
        <v>0</v>
      </c>
    </row>
    <row r="1223" spans="1:12" ht="18.75" customHeight="1">
      <c r="A1223" s="266"/>
      <c r="B1223" s="267" t="s">
        <v>661</v>
      </c>
      <c r="C1223" s="267"/>
      <c r="D1223" s="267"/>
      <c r="E1223" s="267"/>
      <c r="F1223" s="267"/>
      <c r="G1223" s="266" t="s">
        <v>81</v>
      </c>
      <c r="H1223" s="266"/>
      <c r="I1223" s="268">
        <f>ROUND(I1204*0.8586+I1207*0.8586,3)</f>
        <v>0</v>
      </c>
      <c r="J1223" s="380">
        <v>102.44</v>
      </c>
      <c r="K1223" s="380">
        <f>ROUND(I1223*J1223,2)</f>
        <v>0</v>
      </c>
    </row>
    <row r="1224" spans="1:12" ht="18.75" customHeight="1">
      <c r="A1224" s="266"/>
      <c r="B1224" s="267" t="s">
        <v>663</v>
      </c>
      <c r="C1224" s="267" t="s">
        <v>664</v>
      </c>
      <c r="D1224" s="267"/>
      <c r="E1224" s="267"/>
      <c r="F1224" s="267"/>
      <c r="G1224" s="266" t="s">
        <v>656</v>
      </c>
      <c r="H1224" s="266"/>
      <c r="I1224" s="268">
        <f>ROUND(I1210*10.2+I1213*10.2,3)</f>
        <v>0</v>
      </c>
      <c r="J1224" s="380">
        <v>2.56</v>
      </c>
      <c r="K1224" s="380">
        <f>ROUND(I1224*J1224,2)</f>
        <v>0</v>
      </c>
    </row>
    <row r="1225" spans="1:12" ht="18.75" customHeight="1">
      <c r="A1225" s="266"/>
      <c r="B1225" s="267" t="s">
        <v>669</v>
      </c>
      <c r="C1225" s="267"/>
      <c r="D1225" s="267"/>
      <c r="E1225" s="267"/>
      <c r="F1225" s="267"/>
      <c r="G1225" s="266" t="s">
        <v>81</v>
      </c>
      <c r="H1225" s="266"/>
      <c r="I1225" s="268">
        <f>ROUND(I1203+I1206,3)</f>
        <v>0</v>
      </c>
      <c r="J1225" s="380">
        <v>350.44</v>
      </c>
      <c r="K1225" s="380">
        <f>ROUND(I1225*J1225,2)</f>
        <v>0</v>
      </c>
    </row>
    <row r="1226" spans="1:12" ht="18.75" customHeight="1">
      <c r="A1226" s="266"/>
      <c r="B1226" s="267" t="s">
        <v>682</v>
      </c>
      <c r="C1226" s="267"/>
      <c r="D1226" s="267"/>
      <c r="E1226" s="267"/>
      <c r="F1226" s="267"/>
      <c r="G1226" s="266" t="s">
        <v>81</v>
      </c>
      <c r="H1226" s="266"/>
      <c r="I1226" s="268">
        <f>ROUND(I1204*0.561+I1207*0.561,3)</f>
        <v>0</v>
      </c>
      <c r="J1226" s="380">
        <v>142.25</v>
      </c>
      <c r="K1226" s="380">
        <f>ROUND(I1226*J1226,2)</f>
        <v>0</v>
      </c>
    </row>
    <row r="1227" spans="1:12" ht="18.75" customHeight="1">
      <c r="A1227" s="266" t="s">
        <v>46</v>
      </c>
      <c r="B1227" s="267" t="s">
        <v>362</v>
      </c>
      <c r="C1227" s="267"/>
      <c r="D1227" s="267"/>
      <c r="E1227" s="267"/>
      <c r="F1227" s="267"/>
      <c r="G1227" s="266" t="s">
        <v>695</v>
      </c>
      <c r="H1227" s="266"/>
      <c r="I1227" s="268">
        <f>0&amp;"%"</f>
        <v>0</v>
      </c>
      <c r="J1227" s="380">
        <f>K1198+K1216+K1217+K1218+K1219</f>
        <v>0</v>
      </c>
      <c r="K1227" s="380">
        <f>ROUND(I1227*J1227,2)</f>
        <v>0</v>
      </c>
    </row>
    <row r="1228" spans="1:11" ht="7.5" customHeight="1">
      <c r="A1228" s="259"/>
      <c r="B1228" s="259"/>
      <c r="C1228" s="259"/>
      <c r="D1228" s="259"/>
      <c r="E1228" s="259"/>
      <c r="F1228" s="259"/>
      <c r="G1228" s="259"/>
      <c r="H1228" s="259"/>
      <c r="I1228" s="259"/>
      <c r="J1228" s="259"/>
      <c r="K1228" s="259"/>
    </row>
    <row r="1229" spans="1:11" ht="26.25" customHeight="1">
      <c r="A1229" s="260" t="s">
        <v>684</v>
      </c>
      <c r="B1229" s="260"/>
      <c r="C1229" s="260"/>
      <c r="D1229" s="260"/>
      <c r="E1229" s="260"/>
      <c r="F1229" s="260"/>
      <c r="G1229" s="260"/>
      <c r="H1229" s="260"/>
      <c r="I1229" s="260"/>
      <c r="J1229" s="260"/>
      <c r="K1229" s="260"/>
    </row>
    <row r="1230" spans="1:11" ht="18.75" customHeight="1">
      <c r="A1230" s="261" t="s">
        <v>1711</v>
      </c>
      <c r="B1230" s="261"/>
      <c r="C1230" s="261"/>
      <c r="D1230" s="261"/>
      <c r="E1230" s="261"/>
      <c r="F1230" s="261"/>
      <c r="G1230" s="261"/>
      <c r="H1230" s="261"/>
      <c r="I1230" s="261"/>
      <c r="J1230" s="261"/>
      <c r="K1230" s="261"/>
    </row>
    <row r="1231" spans="1:11" ht="18.75" customHeight="1">
      <c r="A1231" s="262" t="s">
        <v>686</v>
      </c>
      <c r="B1231" s="259" t="s">
        <v>1712</v>
      </c>
      <c r="C1231" s="259"/>
      <c r="D1231" s="259"/>
      <c r="E1231" s="259"/>
      <c r="F1231" s="259"/>
      <c r="G1231" s="259"/>
      <c r="H1231" s="263" t="s">
        <v>1713</v>
      </c>
      <c r="I1231" s="263"/>
      <c r="J1231" s="263"/>
      <c r="K1231" s="263"/>
    </row>
    <row r="1232" spans="1:11" ht="27.75" customHeight="1">
      <c r="A1232" s="264" t="s">
        <v>688</v>
      </c>
      <c r="B1232" s="265" t="s">
        <v>1714</v>
      </c>
      <c r="C1232" s="265"/>
      <c r="D1232" s="265"/>
      <c r="E1232" s="265"/>
      <c r="F1232" s="265"/>
      <c r="G1232" s="265"/>
      <c r="H1232" s="265"/>
      <c r="I1232" s="265"/>
      <c r="J1232" s="265"/>
      <c r="K1232" s="265"/>
    </row>
    <row r="1233" spans="1:12" ht="18.75" customHeight="1">
      <c r="A1233" s="266" t="s">
        <v>28</v>
      </c>
      <c r="B1233" s="266" t="s">
        <v>690</v>
      </c>
      <c r="C1233" s="266" t="s">
        <v>650</v>
      </c>
      <c r="D1233" s="266"/>
      <c r="E1233" s="266"/>
      <c r="F1233" s="266"/>
      <c r="G1233" s="266" t="s">
        <v>651</v>
      </c>
      <c r="H1233" s="266"/>
      <c r="I1233" s="266" t="s">
        <v>691</v>
      </c>
      <c r="J1233" s="266" t="s">
        <v>692</v>
      </c>
      <c r="K1233" s="266" t="s">
        <v>693</v>
      </c>
    </row>
    <row r="1234" spans="1:12" ht="18.75" customHeight="1">
      <c r="A1234" s="266" t="s">
        <v>49</v>
      </c>
      <c r="B1234" s="267" t="s">
        <v>363</v>
      </c>
      <c r="C1234" s="267"/>
      <c r="D1234" s="267"/>
      <c r="E1234" s="267"/>
      <c r="F1234" s="267"/>
      <c r="G1234" s="266" t="s">
        <v>695</v>
      </c>
      <c r="H1234" s="266"/>
      <c r="I1234" s="268">
        <f>9&amp;"%"</f>
        <v>0</v>
      </c>
      <c r="J1234" s="380">
        <f>K1198+K1216+K1217+K1218+K1219+K1227</f>
        <v>0</v>
      </c>
      <c r="K1234" s="380">
        <f>ROUND(I1234*J1234,2)</f>
        <v>0</v>
      </c>
    </row>
    <row r="1235" spans="1:12" ht="18.75" customHeight="1">
      <c r="A1235" s="266"/>
      <c r="B1235" s="267" t="s">
        <v>64</v>
      </c>
      <c r="C1235" s="267"/>
      <c r="D1235" s="267"/>
      <c r="E1235" s="267"/>
      <c r="F1235" s="267"/>
      <c r="G1235" s="266" t="s">
        <v>695</v>
      </c>
      <c r="H1235" s="266"/>
      <c r="I1235" s="268"/>
      <c r="J1235" s="268"/>
      <c r="K1235" s="380">
        <f>K1198+K1216+K1217+K1218+K1219+K1227+K1234</f>
        <v>0</v>
      </c>
    </row>
    <row r="1236" spans="1:12" ht="18.75" customHeight="1">
      <c r="A1236" s="266"/>
      <c r="B1236" s="267" t="s">
        <v>752</v>
      </c>
      <c r="C1236" s="267"/>
      <c r="D1236" s="267"/>
      <c r="E1236" s="267"/>
      <c r="F1236" s="267"/>
      <c r="G1236" s="266" t="s">
        <v>695</v>
      </c>
      <c r="H1236" s="266"/>
      <c r="I1236" s="268"/>
      <c r="J1236" s="268"/>
      <c r="K1236" s="380">
        <f>ROUND(K1235/1000,2)</f>
        <v>0</v>
      </c>
    </row>
    <row r="1237" spans="1:11" ht="18.75" customHeight="1">
      <c r="A1237" s="266"/>
      <c r="B1237" s="267"/>
      <c r="C1237" s="267"/>
      <c r="D1237" s="267"/>
      <c r="E1237" s="267"/>
      <c r="F1237" s="267"/>
      <c r="G1237" s="266"/>
      <c r="H1237" s="266"/>
      <c r="I1237" s="268"/>
      <c r="J1237" s="268"/>
      <c r="K1237" s="268"/>
    </row>
    <row r="1238" spans="1:11" ht="18.75" customHeight="1">
      <c r="A1238" s="266"/>
      <c r="B1238" s="267"/>
      <c r="C1238" s="267"/>
      <c r="D1238" s="267"/>
      <c r="E1238" s="267"/>
      <c r="F1238" s="267"/>
      <c r="G1238" s="266"/>
      <c r="H1238" s="266"/>
      <c r="I1238" s="268"/>
      <c r="J1238" s="268"/>
      <c r="K1238" s="268"/>
    </row>
    <row r="1239" spans="1:11" ht="18.75" customHeight="1">
      <c r="A1239" s="266"/>
      <c r="B1239" s="267"/>
      <c r="C1239" s="267"/>
      <c r="D1239" s="267"/>
      <c r="E1239" s="267"/>
      <c r="F1239" s="267"/>
      <c r="G1239" s="266"/>
      <c r="H1239" s="266"/>
      <c r="I1239" s="268"/>
      <c r="J1239" s="268"/>
      <c r="K1239" s="268"/>
    </row>
    <row r="1240" spans="1:11" ht="18.75" customHeight="1">
      <c r="A1240" s="266"/>
      <c r="B1240" s="267"/>
      <c r="C1240" s="267"/>
      <c r="D1240" s="267"/>
      <c r="E1240" s="267"/>
      <c r="F1240" s="267"/>
      <c r="G1240" s="266"/>
      <c r="H1240" s="266"/>
      <c r="I1240" s="268"/>
      <c r="J1240" s="268"/>
      <c r="K1240" s="268"/>
    </row>
    <row r="1241" spans="1:11" ht="18.75" customHeight="1">
      <c r="A1241" s="266"/>
      <c r="B1241" s="267"/>
      <c r="C1241" s="267"/>
      <c r="D1241" s="267"/>
      <c r="E1241" s="267"/>
      <c r="F1241" s="267"/>
      <c r="G1241" s="266"/>
      <c r="H1241" s="266"/>
      <c r="I1241" s="268"/>
      <c r="J1241" s="268"/>
      <c r="K1241" s="268"/>
    </row>
    <row r="1242" spans="1:11" ht="18.75" customHeight="1">
      <c r="A1242" s="266"/>
      <c r="B1242" s="267"/>
      <c r="C1242" s="267"/>
      <c r="D1242" s="267"/>
      <c r="E1242" s="267"/>
      <c r="F1242" s="267"/>
      <c r="G1242" s="266"/>
      <c r="H1242" s="266"/>
      <c r="I1242" s="268"/>
      <c r="J1242" s="268"/>
      <c r="K1242" s="268"/>
    </row>
    <row r="1243" spans="1:11" ht="18.75" customHeight="1">
      <c r="A1243" s="266"/>
      <c r="B1243" s="267"/>
      <c r="C1243" s="267"/>
      <c r="D1243" s="267"/>
      <c r="E1243" s="267"/>
      <c r="F1243" s="267"/>
      <c r="G1243" s="266"/>
      <c r="H1243" s="266"/>
      <c r="I1243" s="268"/>
      <c r="J1243" s="268"/>
      <c r="K1243" s="268"/>
    </row>
    <row r="1244" spans="1:11" ht="18.75" customHeight="1">
      <c r="A1244" s="266"/>
      <c r="B1244" s="267"/>
      <c r="C1244" s="267"/>
      <c r="D1244" s="267"/>
      <c r="E1244" s="267"/>
      <c r="F1244" s="267"/>
      <c r="G1244" s="266"/>
      <c r="H1244" s="266"/>
      <c r="I1244" s="268"/>
      <c r="J1244" s="268"/>
      <c r="K1244" s="268"/>
    </row>
    <row r="1245" spans="1:11" ht="18.75" customHeight="1">
      <c r="A1245" s="266"/>
      <c r="B1245" s="267"/>
      <c r="C1245" s="267"/>
      <c r="D1245" s="267"/>
      <c r="E1245" s="267"/>
      <c r="F1245" s="267"/>
      <c r="G1245" s="266"/>
      <c r="H1245" s="266"/>
      <c r="I1245" s="268"/>
      <c r="J1245" s="268"/>
      <c r="K1245" s="268"/>
    </row>
    <row r="1246" spans="1:11" ht="18.75" customHeight="1">
      <c r="A1246" s="266"/>
      <c r="B1246" s="267"/>
      <c r="C1246" s="267"/>
      <c r="D1246" s="267"/>
      <c r="E1246" s="267"/>
      <c r="F1246" s="267"/>
      <c r="G1246" s="266"/>
      <c r="H1246" s="266"/>
      <c r="I1246" s="268"/>
      <c r="J1246" s="268"/>
      <c r="K1246" s="268"/>
    </row>
    <row r="1247" spans="1:11" ht="18.75" customHeight="1">
      <c r="A1247" s="266"/>
      <c r="B1247" s="267"/>
      <c r="C1247" s="267"/>
      <c r="D1247" s="267"/>
      <c r="E1247" s="267"/>
      <c r="F1247" s="267"/>
      <c r="G1247" s="266"/>
      <c r="H1247" s="266"/>
      <c r="I1247" s="268"/>
      <c r="J1247" s="268"/>
      <c r="K1247" s="268"/>
    </row>
    <row r="1248" spans="1:11" ht="18.75" customHeight="1">
      <c r="A1248" s="266"/>
      <c r="B1248" s="267"/>
      <c r="C1248" s="267"/>
      <c r="D1248" s="267"/>
      <c r="E1248" s="267"/>
      <c r="F1248" s="267"/>
      <c r="G1248" s="266"/>
      <c r="H1248" s="266"/>
      <c r="I1248" s="268"/>
      <c r="J1248" s="268"/>
      <c r="K1248" s="268"/>
    </row>
    <row r="1249" spans="1:11" ht="18.75" customHeight="1">
      <c r="A1249" s="266"/>
      <c r="B1249" s="267"/>
      <c r="C1249" s="267"/>
      <c r="D1249" s="267"/>
      <c r="E1249" s="267"/>
      <c r="F1249" s="267"/>
      <c r="G1249" s="266"/>
      <c r="H1249" s="266"/>
      <c r="I1249" s="268"/>
      <c r="J1249" s="268"/>
      <c r="K1249" s="268"/>
    </row>
    <row r="1250" spans="1:11" ht="18.75" customHeight="1">
      <c r="A1250" s="266"/>
      <c r="B1250" s="267"/>
      <c r="C1250" s="267"/>
      <c r="D1250" s="267"/>
      <c r="E1250" s="267"/>
      <c r="F1250" s="267"/>
      <c r="G1250" s="266"/>
      <c r="H1250" s="266"/>
      <c r="I1250" s="268"/>
      <c r="J1250" s="268"/>
      <c r="K1250" s="268"/>
    </row>
    <row r="1251" spans="1:11" ht="18.75" customHeight="1">
      <c r="A1251" s="266"/>
      <c r="B1251" s="267"/>
      <c r="C1251" s="267"/>
      <c r="D1251" s="267"/>
      <c r="E1251" s="267"/>
      <c r="F1251" s="267"/>
      <c r="G1251" s="266"/>
      <c r="H1251" s="266"/>
      <c r="I1251" s="268"/>
      <c r="J1251" s="268"/>
      <c r="K1251" s="268"/>
    </row>
    <row r="1252" spans="1:11" ht="18.75" customHeight="1">
      <c r="A1252" s="266"/>
      <c r="B1252" s="267"/>
      <c r="C1252" s="267"/>
      <c r="D1252" s="267"/>
      <c r="E1252" s="267"/>
      <c r="F1252" s="267"/>
      <c r="G1252" s="266"/>
      <c r="H1252" s="266"/>
      <c r="I1252" s="268"/>
      <c r="J1252" s="268"/>
      <c r="K1252" s="268"/>
    </row>
    <row r="1253" spans="1:11" ht="18.75" customHeight="1">
      <c r="A1253" s="266"/>
      <c r="B1253" s="267"/>
      <c r="C1253" s="267"/>
      <c r="D1253" s="267"/>
      <c r="E1253" s="267"/>
      <c r="F1253" s="267"/>
      <c r="G1253" s="266"/>
      <c r="H1253" s="266"/>
      <c r="I1253" s="268"/>
      <c r="J1253" s="268"/>
      <c r="K1253" s="268"/>
    </row>
    <row r="1254" spans="1:11" ht="18.75" customHeight="1">
      <c r="A1254" s="266"/>
      <c r="B1254" s="267"/>
      <c r="C1254" s="267"/>
      <c r="D1254" s="267"/>
      <c r="E1254" s="267"/>
      <c r="F1254" s="267"/>
      <c r="G1254" s="266"/>
      <c r="H1254" s="266"/>
      <c r="I1254" s="268"/>
      <c r="J1254" s="268"/>
      <c r="K1254" s="268"/>
    </row>
    <row r="1255" spans="1:11" ht="18.75" customHeight="1">
      <c r="A1255" s="266"/>
      <c r="B1255" s="267"/>
      <c r="C1255" s="267"/>
      <c r="D1255" s="267"/>
      <c r="E1255" s="267"/>
      <c r="F1255" s="267"/>
      <c r="G1255" s="266"/>
      <c r="H1255" s="266"/>
      <c r="I1255" s="268"/>
      <c r="J1255" s="268"/>
      <c r="K1255" s="268"/>
    </row>
    <row r="1256" spans="1:11" ht="18.75" customHeight="1">
      <c r="A1256" s="266"/>
      <c r="B1256" s="267"/>
      <c r="C1256" s="267"/>
      <c r="D1256" s="267"/>
      <c r="E1256" s="267"/>
      <c r="F1256" s="267"/>
      <c r="G1256" s="266"/>
      <c r="H1256" s="266"/>
      <c r="I1256" s="268"/>
      <c r="J1256" s="268"/>
      <c r="K1256" s="268"/>
    </row>
    <row r="1257" spans="1:11" ht="18.75" customHeight="1">
      <c r="A1257" s="266"/>
      <c r="B1257" s="267"/>
      <c r="C1257" s="267"/>
      <c r="D1257" s="267"/>
      <c r="E1257" s="267"/>
      <c r="F1257" s="267"/>
      <c r="G1257" s="266"/>
      <c r="H1257" s="266"/>
      <c r="I1257" s="268"/>
      <c r="J1257" s="268"/>
      <c r="K1257" s="268"/>
    </row>
    <row r="1258" spans="1:11" ht="18.75" customHeight="1">
      <c r="A1258" s="266"/>
      <c r="B1258" s="267"/>
      <c r="C1258" s="267"/>
      <c r="D1258" s="267"/>
      <c r="E1258" s="267"/>
      <c r="F1258" s="267"/>
      <c r="G1258" s="266"/>
      <c r="H1258" s="266"/>
      <c r="I1258" s="268"/>
      <c r="J1258" s="268"/>
      <c r="K1258" s="268"/>
    </row>
    <row r="1259" spans="1:11" ht="18.75" customHeight="1">
      <c r="A1259" s="266"/>
      <c r="B1259" s="267"/>
      <c r="C1259" s="267"/>
      <c r="D1259" s="267"/>
      <c r="E1259" s="267"/>
      <c r="F1259" s="267"/>
      <c r="G1259" s="266"/>
      <c r="H1259" s="266"/>
      <c r="I1259" s="268"/>
      <c r="J1259" s="268"/>
      <c r="K1259" s="268"/>
    </row>
    <row r="1260" spans="1:11" ht="18.75" customHeight="1">
      <c r="A1260" s="266"/>
      <c r="B1260" s="267"/>
      <c r="C1260" s="267"/>
      <c r="D1260" s="267"/>
      <c r="E1260" s="267"/>
      <c r="F1260" s="267"/>
      <c r="G1260" s="266"/>
      <c r="H1260" s="266"/>
      <c r="I1260" s="268"/>
      <c r="J1260" s="268"/>
      <c r="K1260" s="268"/>
    </row>
    <row r="1261" spans="1:11" ht="18.75" customHeight="1">
      <c r="A1261" s="266"/>
      <c r="B1261" s="267"/>
      <c r="C1261" s="267"/>
      <c r="D1261" s="267"/>
      <c r="E1261" s="267"/>
      <c r="F1261" s="267"/>
      <c r="G1261" s="266"/>
      <c r="H1261" s="266"/>
      <c r="I1261" s="268"/>
      <c r="J1261" s="268"/>
      <c r="K1261" s="268"/>
    </row>
    <row r="1262" spans="1:11" ht="18.75" customHeight="1">
      <c r="A1262" s="266"/>
      <c r="B1262" s="267"/>
      <c r="C1262" s="267"/>
      <c r="D1262" s="267"/>
      <c r="E1262" s="267"/>
      <c r="F1262" s="267"/>
      <c r="G1262" s="266"/>
      <c r="H1262" s="266"/>
      <c r="I1262" s="268"/>
      <c r="J1262" s="268"/>
      <c r="K1262" s="268"/>
    </row>
    <row r="1263" spans="1:11" ht="18.75" customHeight="1">
      <c r="A1263" s="266"/>
      <c r="B1263" s="267"/>
      <c r="C1263" s="267"/>
      <c r="D1263" s="267"/>
      <c r="E1263" s="267"/>
      <c r="F1263" s="267"/>
      <c r="G1263" s="266"/>
      <c r="H1263" s="266"/>
      <c r="I1263" s="268"/>
      <c r="J1263" s="268"/>
      <c r="K1263" s="268"/>
    </row>
    <row r="1264" spans="1:11" ht="18.75" customHeight="1">
      <c r="A1264" s="266"/>
      <c r="B1264" s="267"/>
      <c r="C1264" s="267"/>
      <c r="D1264" s="267"/>
      <c r="E1264" s="267"/>
      <c r="F1264" s="267"/>
      <c r="G1264" s="266"/>
      <c r="H1264" s="266"/>
      <c r="I1264" s="268"/>
      <c r="J1264" s="268"/>
      <c r="K1264" s="268"/>
    </row>
    <row r="1265" spans="1:11" ht="7.5" customHeight="1">
      <c r="A1265" s="259"/>
      <c r="B1265" s="259"/>
      <c r="C1265" s="259"/>
      <c r="D1265" s="259"/>
      <c r="E1265" s="259"/>
      <c r="F1265" s="259"/>
      <c r="G1265" s="259"/>
      <c r="H1265" s="259"/>
      <c r="I1265" s="259"/>
      <c r="J1265" s="259"/>
      <c r="K1265" s="259"/>
    </row>
    <row r="1266" spans="1:11" ht="26.25" customHeight="1">
      <c r="A1266" s="260" t="s">
        <v>684</v>
      </c>
      <c r="B1266" s="260"/>
      <c r="C1266" s="260"/>
      <c r="D1266" s="260"/>
      <c r="E1266" s="260"/>
      <c r="F1266" s="260"/>
      <c r="G1266" s="260"/>
      <c r="H1266" s="260"/>
      <c r="I1266" s="260"/>
      <c r="J1266" s="260"/>
      <c r="K1266" s="260"/>
    </row>
    <row r="1267" spans="1:11" ht="18.75" customHeight="1">
      <c r="A1267" s="261" t="s">
        <v>1760</v>
      </c>
      <c r="B1267" s="261"/>
      <c r="C1267" s="261"/>
      <c r="D1267" s="261"/>
      <c r="E1267" s="261"/>
      <c r="F1267" s="261"/>
      <c r="G1267" s="261"/>
      <c r="H1267" s="261"/>
      <c r="I1267" s="261"/>
      <c r="J1267" s="261"/>
      <c r="K1267" s="261"/>
    </row>
    <row r="1268" spans="1:11" ht="18.75" customHeight="1">
      <c r="A1268" s="262" t="s">
        <v>686</v>
      </c>
      <c r="B1268" s="259" t="s">
        <v>1761</v>
      </c>
      <c r="C1268" s="259"/>
      <c r="D1268" s="259"/>
      <c r="E1268" s="259"/>
      <c r="F1268" s="259"/>
      <c r="G1268" s="259"/>
      <c r="H1268" s="263" t="s">
        <v>687</v>
      </c>
      <c r="I1268" s="263"/>
      <c r="J1268" s="263"/>
      <c r="K1268" s="263"/>
    </row>
    <row r="1269" spans="1:11" ht="27.75" customHeight="1">
      <c r="A1269" s="264" t="s">
        <v>688</v>
      </c>
      <c r="B1269" s="265" t="s">
        <v>1762</v>
      </c>
      <c r="C1269" s="265"/>
      <c r="D1269" s="265"/>
      <c r="E1269" s="265"/>
      <c r="F1269" s="265"/>
      <c r="G1269" s="265"/>
      <c r="H1269" s="265"/>
      <c r="I1269" s="265"/>
      <c r="J1269" s="265"/>
      <c r="K1269" s="265"/>
    </row>
    <row r="1270" spans="1:12" ht="18.75" customHeight="1">
      <c r="A1270" s="266" t="s">
        <v>28</v>
      </c>
      <c r="B1270" s="266" t="s">
        <v>690</v>
      </c>
      <c r="C1270" s="266" t="s">
        <v>650</v>
      </c>
      <c r="D1270" s="266"/>
      <c r="E1270" s="266"/>
      <c r="F1270" s="266"/>
      <c r="G1270" s="266" t="s">
        <v>651</v>
      </c>
      <c r="H1270" s="266"/>
      <c r="I1270" s="266" t="s">
        <v>691</v>
      </c>
      <c r="J1270" s="266" t="s">
        <v>692</v>
      </c>
      <c r="K1270" s="266" t="s">
        <v>693</v>
      </c>
    </row>
    <row r="1271" spans="1:12" ht="18.75" customHeight="1">
      <c r="A1271" s="266" t="s">
        <v>31</v>
      </c>
      <c r="B1271" s="267" t="s">
        <v>694</v>
      </c>
      <c r="C1271" s="267"/>
      <c r="D1271" s="267"/>
      <c r="E1271" s="267"/>
      <c r="F1271" s="267"/>
      <c r="G1271" s="266" t="s">
        <v>695</v>
      </c>
      <c r="H1271" s="266"/>
      <c r="I1271" s="268"/>
      <c r="J1271" s="268"/>
      <c r="K1271" s="380">
        <f>K1272+K1274+K1276+K1281+K1282</f>
        <v>0</v>
      </c>
    </row>
    <row r="1272" spans="1:12" ht="18.75" customHeight="1">
      <c r="A1272" s="266" t="s">
        <v>76</v>
      </c>
      <c r="B1272" s="267" t="s">
        <v>353</v>
      </c>
      <c r="C1272" s="267"/>
      <c r="D1272" s="267"/>
      <c r="E1272" s="267"/>
      <c r="F1272" s="267"/>
      <c r="G1272" s="266" t="s">
        <v>695</v>
      </c>
      <c r="H1272" s="266"/>
      <c r="I1272" s="268"/>
      <c r="J1272" s="268"/>
      <c r="K1272" s="380">
        <f>SUM(K1273:K1273)</f>
        <v>0</v>
      </c>
    </row>
    <row r="1273" spans="1:12" ht="18.75" customHeight="1">
      <c r="A1273" s="266"/>
      <c r="B1273" s="267" t="s">
        <v>698</v>
      </c>
      <c r="C1273" s="267"/>
      <c r="D1273" s="267"/>
      <c r="E1273" s="267"/>
      <c r="F1273" s="267"/>
      <c r="G1273" s="266" t="s">
        <v>699</v>
      </c>
      <c r="H1273" s="266"/>
      <c r="I1273" s="268">
        <f>ROUND(35,3)</f>
        <v>0</v>
      </c>
      <c r="J1273" s="380">
        <v>3.46</v>
      </c>
      <c r="K1273" s="380">
        <f>ROUND(I1273*J1273,2)</f>
        <v>0</v>
      </c>
    </row>
    <row r="1274" spans="1:12" ht="18.75" customHeight="1">
      <c r="A1274" s="266" t="s">
        <v>152</v>
      </c>
      <c r="B1274" s="267" t="s">
        <v>354</v>
      </c>
      <c r="C1274" s="267"/>
      <c r="D1274" s="267"/>
      <c r="E1274" s="267"/>
      <c r="F1274" s="267"/>
      <c r="G1274" s="266" t="s">
        <v>695</v>
      </c>
      <c r="H1274" s="266"/>
      <c r="I1274" s="268"/>
      <c r="J1274" s="268"/>
      <c r="K1274" s="380">
        <f>SUM(K1275:K1275)</f>
        <v>0</v>
      </c>
    </row>
    <row r="1275" spans="1:12" ht="18.75" customHeight="1">
      <c r="A1275" s="266"/>
      <c r="B1275" s="267" t="s">
        <v>702</v>
      </c>
      <c r="C1275" s="267"/>
      <c r="D1275" s="267"/>
      <c r="E1275" s="267"/>
      <c r="F1275" s="267"/>
      <c r="G1275" s="266" t="s">
        <v>334</v>
      </c>
      <c r="H1275" s="266"/>
      <c r="I1275" s="268">
        <f>ROUND(3,3)</f>
        <v>0</v>
      </c>
      <c r="J1275" s="380">
        <f>K1273+K1277+K1278+K1279+K1280</f>
        <v>0</v>
      </c>
      <c r="K1275" s="380">
        <f>ROUND(I1275*J1275/100,2)</f>
        <v>0</v>
      </c>
    </row>
    <row r="1276" spans="1:12" ht="18.75" customHeight="1">
      <c r="A1276" s="266" t="s">
        <v>704</v>
      </c>
      <c r="B1276" s="267" t="s">
        <v>705</v>
      </c>
      <c r="C1276" s="267"/>
      <c r="D1276" s="267"/>
      <c r="E1276" s="267"/>
      <c r="F1276" s="267"/>
      <c r="G1276" s="266" t="s">
        <v>695</v>
      </c>
      <c r="H1276" s="266"/>
      <c r="I1276" s="268"/>
      <c r="J1276" s="268"/>
      <c r="K1276" s="380">
        <f>SUM(K1277:K1280)</f>
        <v>0</v>
      </c>
    </row>
    <row r="1277" spans="1:12" ht="18.75" customHeight="1">
      <c r="A1277" s="266"/>
      <c r="B1277" s="267" t="s">
        <v>707</v>
      </c>
      <c r="C1277" s="267" t="s">
        <v>708</v>
      </c>
      <c r="D1277" s="267"/>
      <c r="E1277" s="267"/>
      <c r="F1277" s="267"/>
      <c r="G1277" s="266" t="s">
        <v>709</v>
      </c>
      <c r="H1277" s="266"/>
      <c r="I1277" s="268">
        <f>ROUND(1,3)</f>
        <v>0</v>
      </c>
      <c r="J1277" s="380">
        <v>112.25</v>
      </c>
      <c r="K1277" s="380">
        <f>ROUND(I1277*J1277,2)</f>
        <v>0</v>
      </c>
    </row>
    <row r="1278" spans="1:12" ht="18.75" customHeight="1">
      <c r="A1278" s="266"/>
      <c r="B1278" s="267" t="s">
        <v>711</v>
      </c>
      <c r="C1278" s="267" t="s">
        <v>712</v>
      </c>
      <c r="D1278" s="267"/>
      <c r="E1278" s="267"/>
      <c r="F1278" s="267"/>
      <c r="G1278" s="266" t="s">
        <v>709</v>
      </c>
      <c r="H1278" s="266"/>
      <c r="I1278" s="268">
        <f>ROUND(0.5,3)</f>
        <v>0</v>
      </c>
      <c r="J1278" s="380">
        <v>55.49</v>
      </c>
      <c r="K1278" s="380">
        <f>ROUND(I1278*J1278,2)</f>
        <v>0</v>
      </c>
    </row>
    <row r="1279" spans="1:12" ht="18.75" customHeight="1">
      <c r="A1279" s="266"/>
      <c r="B1279" s="267" t="s">
        <v>716</v>
      </c>
      <c r="C1279" s="267" t="s">
        <v>717</v>
      </c>
      <c r="D1279" s="267"/>
      <c r="E1279" s="267"/>
      <c r="F1279" s="267"/>
      <c r="G1279" s="266" t="s">
        <v>709</v>
      </c>
      <c r="H1279" s="266"/>
      <c r="I1279" s="268">
        <f>ROUND(6.5,3)</f>
        <v>0</v>
      </c>
      <c r="J1279" s="380">
        <v>67.52</v>
      </c>
      <c r="K1279" s="380">
        <f>ROUND(I1279*J1279,2)</f>
        <v>0</v>
      </c>
    </row>
    <row r="1280" spans="1:12" ht="18.75" customHeight="1">
      <c r="A1280" s="266"/>
      <c r="B1280" s="267" t="s">
        <v>998</v>
      </c>
      <c r="C1280" s="267"/>
      <c r="D1280" s="267"/>
      <c r="E1280" s="267"/>
      <c r="F1280" s="267"/>
      <c r="G1280" s="266" t="s">
        <v>709</v>
      </c>
      <c r="H1280" s="266"/>
      <c r="I1280" s="268">
        <f>ROUND(9.36,3)</f>
        <v>0</v>
      </c>
      <c r="J1280" s="380">
        <v>0.82</v>
      </c>
      <c r="K1280" s="380">
        <f>ROUND(I1280*J1280,2)</f>
        <v>0</v>
      </c>
    </row>
    <row r="1281" spans="1:12" ht="18.75" customHeight="1">
      <c r="A1281" s="266" t="s">
        <v>721</v>
      </c>
      <c r="B1281" s="267" t="s">
        <v>722</v>
      </c>
      <c r="C1281" s="267"/>
      <c r="D1281" s="267"/>
      <c r="E1281" s="267"/>
      <c r="F1281" s="267"/>
      <c r="G1281" s="266" t="s">
        <v>695</v>
      </c>
      <c r="H1281" s="266"/>
      <c r="I1281" s="268">
        <f>3.5&amp;"%"</f>
        <v>0</v>
      </c>
      <c r="J1281" s="380">
        <f>K1272+K1274+K1276</f>
        <v>0</v>
      </c>
      <c r="K1281" s="380">
        <f>ROUND(I1281*J1281,2)</f>
        <v>0</v>
      </c>
    </row>
    <row r="1282" spans="1:12" ht="18.75" customHeight="1">
      <c r="A1282" s="266" t="s">
        <v>348</v>
      </c>
      <c r="B1282" s="267" t="s">
        <v>726</v>
      </c>
      <c r="C1282" s="267"/>
      <c r="D1282" s="267"/>
      <c r="E1282" s="267"/>
      <c r="F1282" s="267"/>
      <c r="G1282" s="266" t="s">
        <v>695</v>
      </c>
      <c r="H1282" s="266"/>
      <c r="I1282" s="268">
        <f>4&amp;"%"</f>
        <v>0</v>
      </c>
      <c r="J1282" s="380">
        <f>K1272+K1274+K1276</f>
        <v>0</v>
      </c>
      <c r="K1282" s="380">
        <f>ROUND(I1282*J1282,2)</f>
        <v>0</v>
      </c>
    </row>
    <row r="1283" spans="1:12" ht="18.75" customHeight="1">
      <c r="A1283" s="266" t="s">
        <v>34</v>
      </c>
      <c r="B1283" s="267" t="s">
        <v>729</v>
      </c>
      <c r="C1283" s="267"/>
      <c r="D1283" s="267"/>
      <c r="E1283" s="267"/>
      <c r="F1283" s="267"/>
      <c r="G1283" s="266" t="s">
        <v>695</v>
      </c>
      <c r="H1283" s="266"/>
      <c r="I1283" s="268">
        <f>3.7&amp;"%"</f>
        <v>0</v>
      </c>
      <c r="J1283" s="380">
        <f>K1271</f>
        <v>0</v>
      </c>
      <c r="K1283" s="380">
        <f>ROUND(I1283*J1283,2)</f>
        <v>0</v>
      </c>
    </row>
    <row r="1284" spans="1:12" ht="18.75" customHeight="1">
      <c r="A1284" s="266" t="s">
        <v>37</v>
      </c>
      <c r="B1284" s="267" t="s">
        <v>732</v>
      </c>
      <c r="C1284" s="267"/>
      <c r="D1284" s="267"/>
      <c r="E1284" s="267"/>
      <c r="F1284" s="267"/>
      <c r="G1284" s="266" t="s">
        <v>695</v>
      </c>
      <c r="H1284" s="266"/>
      <c r="I1284" s="268">
        <f>32.8&amp;"%"</f>
        <v>0</v>
      </c>
      <c r="J1284" s="380">
        <f>K1272+ROUND(I1277*2.7*3.46,2)+ROUND(I1278*2.4*3.46,2)+ROUND(I1279*1.3*3.46,2)</f>
        <v>0</v>
      </c>
      <c r="K1284" s="380">
        <f>ROUND(I1284*J1284,2)</f>
        <v>0</v>
      </c>
    </row>
    <row r="1285" spans="1:12" ht="18.75" customHeight="1">
      <c r="A1285" s="266" t="s">
        <v>40</v>
      </c>
      <c r="B1285" s="267" t="s">
        <v>736</v>
      </c>
      <c r="C1285" s="267"/>
      <c r="D1285" s="267"/>
      <c r="E1285" s="267"/>
      <c r="F1285" s="267"/>
      <c r="G1285" s="266" t="s">
        <v>695</v>
      </c>
      <c r="H1285" s="266"/>
      <c r="I1285" s="268">
        <f>7&amp;"%"</f>
        <v>0</v>
      </c>
      <c r="J1285" s="380">
        <f>K1271+K1283+K1284</f>
        <v>0</v>
      </c>
      <c r="K1285" s="380">
        <f>ROUND(I1285*J1285,2)</f>
        <v>0</v>
      </c>
    </row>
    <row r="1286" spans="1:12" ht="18.75" customHeight="1">
      <c r="A1286" s="266" t="s">
        <v>43</v>
      </c>
      <c r="B1286" s="267" t="s">
        <v>361</v>
      </c>
      <c r="C1286" s="267"/>
      <c r="D1286" s="267"/>
      <c r="E1286" s="267"/>
      <c r="F1286" s="267"/>
      <c r="G1286" s="266" t="s">
        <v>695</v>
      </c>
      <c r="H1286" s="266"/>
      <c r="I1286" s="268"/>
      <c r="J1286" s="268"/>
      <c r="K1286" s="380">
        <f>SUM(K1287:K1289)</f>
        <v>0</v>
      </c>
    </row>
    <row r="1287" spans="1:12" ht="18.75" customHeight="1">
      <c r="A1287" s="266"/>
      <c r="B1287" s="267" t="s">
        <v>698</v>
      </c>
      <c r="C1287" s="267"/>
      <c r="D1287" s="267"/>
      <c r="E1287" s="267"/>
      <c r="F1287" s="267"/>
      <c r="G1287" s="266" t="s">
        <v>699</v>
      </c>
      <c r="H1287" s="266"/>
      <c r="I1287" s="268">
        <f>ROUND(I1273,3)</f>
        <v>0</v>
      </c>
      <c r="J1287" s="380">
        <v>4</v>
      </c>
      <c r="K1287" s="380">
        <f>ROUND(I1287*J1287,2)</f>
        <v>0</v>
      </c>
    </row>
    <row r="1288" spans="1:12" ht="18.75" customHeight="1">
      <c r="A1288" s="266"/>
      <c r="B1288" s="267" t="s">
        <v>741</v>
      </c>
      <c r="C1288" s="267"/>
      <c r="D1288" s="267"/>
      <c r="E1288" s="267"/>
      <c r="F1288" s="267"/>
      <c r="G1288" s="266" t="s">
        <v>699</v>
      </c>
      <c r="H1288" s="266"/>
      <c r="I1288" s="268">
        <f>ROUND(I1277*2.7+I1278*2.4+I1279*1.3,3)</f>
        <v>0</v>
      </c>
      <c r="J1288" s="380">
        <v>4</v>
      </c>
      <c r="K1288" s="380">
        <f>ROUND(I1288*J1288,2)</f>
        <v>0</v>
      </c>
    </row>
    <row r="1289" spans="1:12" ht="18.75" customHeight="1">
      <c r="A1289" s="266"/>
      <c r="B1289" s="267" t="s">
        <v>663</v>
      </c>
      <c r="C1289" s="267" t="s">
        <v>664</v>
      </c>
      <c r="D1289" s="267"/>
      <c r="E1289" s="267"/>
      <c r="F1289" s="267"/>
      <c r="G1289" s="266" t="s">
        <v>656</v>
      </c>
      <c r="H1289" s="266"/>
      <c r="I1289" s="268">
        <f>ROUND(I1277*14.9+I1278*8.4+I1279*10.2,3)</f>
        <v>0</v>
      </c>
      <c r="J1289" s="380">
        <v>2.56</v>
      </c>
      <c r="K1289" s="380">
        <f>ROUND(I1289*J1289,2)</f>
        <v>0</v>
      </c>
    </row>
    <row r="1290" spans="1:12" ht="18.75" customHeight="1">
      <c r="A1290" s="266" t="s">
        <v>46</v>
      </c>
      <c r="B1290" s="267" t="s">
        <v>362</v>
      </c>
      <c r="C1290" s="267"/>
      <c r="D1290" s="267"/>
      <c r="E1290" s="267"/>
      <c r="F1290" s="267"/>
      <c r="G1290" s="266" t="s">
        <v>695</v>
      </c>
      <c r="H1290" s="266"/>
      <c r="I1290" s="268">
        <f>0&amp;"%"</f>
        <v>0</v>
      </c>
      <c r="J1290" s="380">
        <f>K1271+K1283+K1284+K1285+K1286</f>
        <v>0</v>
      </c>
      <c r="K1290" s="380">
        <f>ROUND(I1290*J1290,2)</f>
        <v>0</v>
      </c>
    </row>
    <row r="1291" spans="1:12" ht="18.75" customHeight="1">
      <c r="A1291" s="266" t="s">
        <v>49</v>
      </c>
      <c r="B1291" s="267" t="s">
        <v>363</v>
      </c>
      <c r="C1291" s="267"/>
      <c r="D1291" s="267"/>
      <c r="E1291" s="267"/>
      <c r="F1291" s="267"/>
      <c r="G1291" s="266" t="s">
        <v>695</v>
      </c>
      <c r="H1291" s="266"/>
      <c r="I1291" s="268">
        <f>9&amp;"%"</f>
        <v>0</v>
      </c>
      <c r="J1291" s="380">
        <f>K1271+K1283+K1284+K1285+K1286+K1290</f>
        <v>0</v>
      </c>
      <c r="K1291" s="380">
        <f>ROUND(I1291*J1291,2)</f>
        <v>0</v>
      </c>
    </row>
    <row r="1292" spans="1:12" ht="18.75" customHeight="1">
      <c r="A1292" s="266"/>
      <c r="B1292" s="267" t="s">
        <v>64</v>
      </c>
      <c r="C1292" s="267"/>
      <c r="D1292" s="267"/>
      <c r="E1292" s="267"/>
      <c r="F1292" s="267"/>
      <c r="G1292" s="266" t="s">
        <v>695</v>
      </c>
      <c r="H1292" s="266"/>
      <c r="I1292" s="268"/>
      <c r="J1292" s="268"/>
      <c r="K1292" s="380">
        <f>K1271+K1283+K1284+K1285+K1286+K1290+K1291</f>
        <v>0</v>
      </c>
    </row>
    <row r="1293" spans="1:12" ht="18.75" customHeight="1">
      <c r="A1293" s="266"/>
      <c r="B1293" s="267" t="s">
        <v>752</v>
      </c>
      <c r="C1293" s="267"/>
      <c r="D1293" s="267"/>
      <c r="E1293" s="267"/>
      <c r="F1293" s="267"/>
      <c r="G1293" s="266" t="s">
        <v>695</v>
      </c>
      <c r="H1293" s="266"/>
      <c r="I1293" s="268"/>
      <c r="J1293" s="268"/>
      <c r="K1293" s="380">
        <f>ROUND(K1292/100,2)</f>
        <v>0</v>
      </c>
    </row>
    <row r="1294" spans="1:11" ht="18.75" customHeight="1">
      <c r="A1294" s="266"/>
      <c r="B1294" s="267"/>
      <c r="C1294" s="267"/>
      <c r="D1294" s="267"/>
      <c r="E1294" s="267"/>
      <c r="F1294" s="267"/>
      <c r="G1294" s="266"/>
      <c r="H1294" s="266"/>
      <c r="I1294" s="268"/>
      <c r="J1294" s="268"/>
      <c r="K1294" s="268"/>
    </row>
    <row r="1295" spans="1:11" ht="18.75" customHeight="1">
      <c r="A1295" s="266"/>
      <c r="B1295" s="267"/>
      <c r="C1295" s="267"/>
      <c r="D1295" s="267"/>
      <c r="E1295" s="267"/>
      <c r="F1295" s="267"/>
      <c r="G1295" s="266"/>
      <c r="H1295" s="266"/>
      <c r="I1295" s="268"/>
      <c r="J1295" s="268"/>
      <c r="K1295" s="268"/>
    </row>
    <row r="1296" spans="1:11" ht="18.75" customHeight="1">
      <c r="A1296" s="266"/>
      <c r="B1296" s="267"/>
      <c r="C1296" s="267"/>
      <c r="D1296" s="267"/>
      <c r="E1296" s="267"/>
      <c r="F1296" s="267"/>
      <c r="G1296" s="266"/>
      <c r="H1296" s="266"/>
      <c r="I1296" s="268"/>
      <c r="J1296" s="268"/>
      <c r="K1296" s="268"/>
    </row>
    <row r="1297" spans="1:11" ht="18.75" customHeight="1">
      <c r="A1297" s="266"/>
      <c r="B1297" s="267"/>
      <c r="C1297" s="267"/>
      <c r="D1297" s="267"/>
      <c r="E1297" s="267"/>
      <c r="F1297" s="267"/>
      <c r="G1297" s="266"/>
      <c r="H1297" s="266"/>
      <c r="I1297" s="268"/>
      <c r="J1297" s="268"/>
      <c r="K1297" s="268"/>
    </row>
    <row r="1298" spans="1:11" ht="18.75" customHeight="1">
      <c r="A1298" s="266"/>
      <c r="B1298" s="267"/>
      <c r="C1298" s="267"/>
      <c r="D1298" s="267"/>
      <c r="E1298" s="267"/>
      <c r="F1298" s="267"/>
      <c r="G1298" s="266"/>
      <c r="H1298" s="266"/>
      <c r="I1298" s="268"/>
      <c r="J1298" s="268"/>
      <c r="K1298" s="268"/>
    </row>
    <row r="1299" spans="1:11" ht="18.75" customHeight="1">
      <c r="A1299" s="266"/>
      <c r="B1299" s="267"/>
      <c r="C1299" s="267"/>
      <c r="D1299" s="267"/>
      <c r="E1299" s="267"/>
      <c r="F1299" s="267"/>
      <c r="G1299" s="266"/>
      <c r="H1299" s="266"/>
      <c r="I1299" s="268"/>
      <c r="J1299" s="268"/>
      <c r="K1299" s="268"/>
    </row>
    <row r="1300" spans="1:11" ht="18.75" customHeight="1">
      <c r="A1300" s="266"/>
      <c r="B1300" s="267"/>
      <c r="C1300" s="267"/>
      <c r="D1300" s="267"/>
      <c r="E1300" s="267"/>
      <c r="F1300" s="267"/>
      <c r="G1300" s="266"/>
      <c r="H1300" s="266"/>
      <c r="I1300" s="268"/>
      <c r="J1300" s="268"/>
      <c r="K1300" s="268"/>
    </row>
    <row r="1301" spans="1:11" ht="18.75" customHeight="1">
      <c r="A1301" s="266"/>
      <c r="B1301" s="267"/>
      <c r="C1301" s="267"/>
      <c r="D1301" s="267"/>
      <c r="E1301" s="267"/>
      <c r="F1301" s="267"/>
      <c r="G1301" s="266"/>
      <c r="H1301" s="266"/>
      <c r="I1301" s="268"/>
      <c r="J1301" s="268"/>
      <c r="K1301" s="268"/>
    </row>
    <row r="1302" spans="1:11" ht="7.5" customHeight="1">
      <c r="A1302" s="259"/>
      <c r="B1302" s="259"/>
      <c r="C1302" s="259"/>
      <c r="D1302" s="259"/>
      <c r="E1302" s="259"/>
      <c r="F1302" s="259"/>
      <c r="G1302" s="259"/>
      <c r="H1302" s="259"/>
      <c r="I1302" s="259"/>
      <c r="J1302" s="259"/>
      <c r="K1302" s="259"/>
    </row>
    <row r="1303" spans="1:11" ht="26.25" customHeight="1">
      <c r="A1303" s="260" t="s">
        <v>684</v>
      </c>
      <c r="B1303" s="260"/>
      <c r="C1303" s="260"/>
      <c r="D1303" s="260"/>
      <c r="E1303" s="260"/>
      <c r="F1303" s="260"/>
      <c r="G1303" s="260"/>
      <c r="H1303" s="260"/>
      <c r="I1303" s="260"/>
      <c r="J1303" s="260"/>
      <c r="K1303" s="260"/>
    </row>
    <row r="1304" spans="1:11" ht="18.75" customHeight="1">
      <c r="A1304" s="261" t="s">
        <v>1782</v>
      </c>
      <c r="B1304" s="261"/>
      <c r="C1304" s="261"/>
      <c r="D1304" s="261"/>
      <c r="E1304" s="261"/>
      <c r="F1304" s="261"/>
      <c r="G1304" s="261"/>
      <c r="H1304" s="261"/>
      <c r="I1304" s="261"/>
      <c r="J1304" s="261"/>
      <c r="K1304" s="261"/>
    </row>
    <row r="1305" spans="1:11" ht="18.75" customHeight="1">
      <c r="A1305" s="262" t="s">
        <v>686</v>
      </c>
      <c r="B1305" s="259" t="s">
        <v>1783</v>
      </c>
      <c r="C1305" s="259"/>
      <c r="D1305" s="259"/>
      <c r="E1305" s="259"/>
      <c r="F1305" s="259"/>
      <c r="G1305" s="259"/>
      <c r="H1305" s="263" t="s">
        <v>1784</v>
      </c>
      <c r="I1305" s="263"/>
      <c r="J1305" s="263"/>
      <c r="K1305" s="263"/>
    </row>
    <row r="1306" spans="1:11" ht="27.75" customHeight="1">
      <c r="A1306" s="264" t="s">
        <v>688</v>
      </c>
      <c r="B1306" s="265" t="s">
        <v>1785</v>
      </c>
      <c r="C1306" s="265"/>
      <c r="D1306" s="265"/>
      <c r="E1306" s="265"/>
      <c r="F1306" s="265"/>
      <c r="G1306" s="265"/>
      <c r="H1306" s="265"/>
      <c r="I1306" s="265"/>
      <c r="J1306" s="265"/>
      <c r="K1306" s="265"/>
    </row>
    <row r="1307" spans="1:12" ht="18.75" customHeight="1">
      <c r="A1307" s="266" t="s">
        <v>28</v>
      </c>
      <c r="B1307" s="266" t="s">
        <v>690</v>
      </c>
      <c r="C1307" s="266" t="s">
        <v>650</v>
      </c>
      <c r="D1307" s="266"/>
      <c r="E1307" s="266"/>
      <c r="F1307" s="266"/>
      <c r="G1307" s="266" t="s">
        <v>651</v>
      </c>
      <c r="H1307" s="266"/>
      <c r="I1307" s="266" t="s">
        <v>691</v>
      </c>
      <c r="J1307" s="266" t="s">
        <v>692</v>
      </c>
      <c r="K1307" s="266" t="s">
        <v>693</v>
      </c>
    </row>
    <row r="1308" spans="1:12" ht="18.75" customHeight="1">
      <c r="A1308" s="266" t="s">
        <v>31</v>
      </c>
      <c r="B1308" s="267" t="s">
        <v>694</v>
      </c>
      <c r="C1308" s="267"/>
      <c r="D1308" s="267"/>
      <c r="E1308" s="267"/>
      <c r="F1308" s="267"/>
      <c r="G1308" s="266" t="s">
        <v>695</v>
      </c>
      <c r="H1308" s="266"/>
      <c r="I1308" s="268"/>
      <c r="J1308" s="268"/>
      <c r="K1308" s="380">
        <f>K1309+K1311+K1312+K1318+K1319</f>
        <v>0</v>
      </c>
    </row>
    <row r="1309" spans="1:12" ht="18.75" customHeight="1">
      <c r="A1309" s="266" t="s">
        <v>76</v>
      </c>
      <c r="B1309" s="267" t="s">
        <v>353</v>
      </c>
      <c r="C1309" s="267"/>
      <c r="D1309" s="267"/>
      <c r="E1309" s="267"/>
      <c r="F1309" s="267"/>
      <c r="G1309" s="266" t="s">
        <v>695</v>
      </c>
      <c r="H1309" s="266"/>
      <c r="I1309" s="268"/>
      <c r="J1309" s="268"/>
      <c r="K1309" s="380">
        <f>SUM(K1310:K1310)</f>
        <v>0</v>
      </c>
    </row>
    <row r="1310" spans="1:12" ht="18.75" customHeight="1">
      <c r="A1310" s="266"/>
      <c r="B1310" s="267" t="s">
        <v>698</v>
      </c>
      <c r="C1310" s="267"/>
      <c r="D1310" s="267"/>
      <c r="E1310" s="267"/>
      <c r="F1310" s="267"/>
      <c r="G1310" s="266" t="s">
        <v>699</v>
      </c>
      <c r="H1310" s="266"/>
      <c r="I1310" s="268">
        <f>ROUND(642.5,3)</f>
        <v>0</v>
      </c>
      <c r="J1310" s="380">
        <v>3.46</v>
      </c>
      <c r="K1310" s="380">
        <f>ROUND(I1310*J1310,2)</f>
        <v>0</v>
      </c>
    </row>
    <row r="1311" spans="1:12" ht="18.75" customHeight="1">
      <c r="A1311" s="266" t="s">
        <v>152</v>
      </c>
      <c r="B1311" s="267" t="s">
        <v>354</v>
      </c>
      <c r="C1311" s="267"/>
      <c r="D1311" s="267"/>
      <c r="E1311" s="267"/>
      <c r="F1311" s="267"/>
      <c r="G1311" s="266" t="s">
        <v>695</v>
      </c>
      <c r="H1311" s="266"/>
      <c r="I1311" s="268"/>
      <c r="J1311" s="268"/>
      <c r="K1311" s="380">
        <v>0</v>
      </c>
    </row>
    <row r="1312" spans="1:12" ht="18.75" customHeight="1">
      <c r="A1312" s="266" t="s">
        <v>704</v>
      </c>
      <c r="B1312" s="267" t="s">
        <v>705</v>
      </c>
      <c r="C1312" s="267"/>
      <c r="D1312" s="267"/>
      <c r="E1312" s="267"/>
      <c r="F1312" s="267"/>
      <c r="G1312" s="266" t="s">
        <v>695</v>
      </c>
      <c r="H1312" s="266"/>
      <c r="I1312" s="268"/>
      <c r="J1312" s="268"/>
      <c r="K1312" s="380">
        <f>SUM(K1313:K1317)</f>
        <v>0</v>
      </c>
    </row>
    <row r="1313" spans="1:12" ht="18.75" customHeight="1">
      <c r="A1313" s="266"/>
      <c r="B1313" s="267" t="s">
        <v>1790</v>
      </c>
      <c r="C1313" s="267" t="s">
        <v>1791</v>
      </c>
      <c r="D1313" s="267"/>
      <c r="E1313" s="267"/>
      <c r="F1313" s="267"/>
      <c r="G1313" s="266" t="s">
        <v>709</v>
      </c>
      <c r="H1313" s="266"/>
      <c r="I1313" s="268">
        <f>ROUND(342.94,3)</f>
        <v>0</v>
      </c>
      <c r="J1313" s="380">
        <v>125.18</v>
      </c>
      <c r="K1313" s="380">
        <f>ROUND(I1313*J1313,2)</f>
        <v>0</v>
      </c>
    </row>
    <row r="1314" spans="1:12" ht="18.75" customHeight="1">
      <c r="A1314" s="266"/>
      <c r="B1314" s="267" t="s">
        <v>1795</v>
      </c>
      <c r="C1314" s="267" t="s">
        <v>1796</v>
      </c>
      <c r="D1314" s="267"/>
      <c r="E1314" s="267"/>
      <c r="F1314" s="267"/>
      <c r="G1314" s="266" t="s">
        <v>709</v>
      </c>
      <c r="H1314" s="266"/>
      <c r="I1314" s="268">
        <f>ROUND(342.94,3)</f>
        <v>0</v>
      </c>
      <c r="J1314" s="380">
        <v>73.79</v>
      </c>
      <c r="K1314" s="380">
        <f>ROUND(I1314*J1314,2)</f>
        <v>0</v>
      </c>
    </row>
    <row r="1315" spans="1:12" ht="18.75" customHeight="1">
      <c r="A1315" s="266"/>
      <c r="B1315" s="267" t="s">
        <v>1799</v>
      </c>
      <c r="C1315" s="267" t="s">
        <v>1800</v>
      </c>
      <c r="D1315" s="267"/>
      <c r="E1315" s="267"/>
      <c r="F1315" s="267"/>
      <c r="G1315" s="266" t="s">
        <v>709</v>
      </c>
      <c r="H1315" s="266"/>
      <c r="I1315" s="268">
        <f>ROUND(102.88,3)</f>
        <v>0</v>
      </c>
      <c r="J1315" s="380">
        <v>39.19</v>
      </c>
      <c r="K1315" s="380">
        <f>ROUND(I1315*J1315,2)</f>
        <v>0</v>
      </c>
    </row>
    <row r="1316" spans="1:12" ht="18.75" customHeight="1">
      <c r="A1316" s="266"/>
      <c r="B1316" s="267" t="s">
        <v>1804</v>
      </c>
      <c r="C1316" s="267" t="s">
        <v>1805</v>
      </c>
      <c r="D1316" s="267"/>
      <c r="E1316" s="267"/>
      <c r="F1316" s="267"/>
      <c r="G1316" s="266" t="s">
        <v>709</v>
      </c>
      <c r="H1316" s="266"/>
      <c r="I1316" s="268">
        <f>ROUND(685.88,3)</f>
        <v>0</v>
      </c>
      <c r="J1316" s="380">
        <v>25.63</v>
      </c>
      <c r="K1316" s="380">
        <f>ROUND(I1316*J1316,2)</f>
        <v>0</v>
      </c>
    </row>
    <row r="1317" spans="1:12" ht="18.75" customHeight="1">
      <c r="A1317" s="266"/>
      <c r="B1317" s="267" t="s">
        <v>883</v>
      </c>
      <c r="C1317" s="267"/>
      <c r="D1317" s="267"/>
      <c r="E1317" s="267"/>
      <c r="F1317" s="267"/>
      <c r="G1317" s="266" t="s">
        <v>334</v>
      </c>
      <c r="H1317" s="266"/>
      <c r="I1317" s="268">
        <f>ROUND(3,3)</f>
        <v>0</v>
      </c>
      <c r="J1317" s="380">
        <f>K1313+K1314+K1315+K1316</f>
        <v>0</v>
      </c>
      <c r="K1317" s="380">
        <f>ROUND(I1317*J1317/100,2)</f>
        <v>0</v>
      </c>
    </row>
    <row r="1318" spans="1:12" ht="18.75" customHeight="1">
      <c r="A1318" s="266" t="s">
        <v>721</v>
      </c>
      <c r="B1318" s="267" t="s">
        <v>722</v>
      </c>
      <c r="C1318" s="267"/>
      <c r="D1318" s="267"/>
      <c r="E1318" s="267"/>
      <c r="F1318" s="267"/>
      <c r="G1318" s="266" t="s">
        <v>695</v>
      </c>
      <c r="H1318" s="266"/>
      <c r="I1318" s="268">
        <f>3.5&amp;"%"</f>
        <v>0</v>
      </c>
      <c r="J1318" s="380">
        <f>K1309+K1311+K1312</f>
        <v>0</v>
      </c>
      <c r="K1318" s="380">
        <f>ROUND(I1318*J1318,2)</f>
        <v>0</v>
      </c>
    </row>
    <row r="1319" spans="1:12" ht="18.75" customHeight="1">
      <c r="A1319" s="266" t="s">
        <v>348</v>
      </c>
      <c r="B1319" s="267" t="s">
        <v>726</v>
      </c>
      <c r="C1319" s="267"/>
      <c r="D1319" s="267"/>
      <c r="E1319" s="267"/>
      <c r="F1319" s="267"/>
      <c r="G1319" s="266" t="s">
        <v>695</v>
      </c>
      <c r="H1319" s="266"/>
      <c r="I1319" s="268">
        <f>5&amp;"%"</f>
        <v>0</v>
      </c>
      <c r="J1319" s="380">
        <f>K1309+K1311+K1312</f>
        <v>0</v>
      </c>
      <c r="K1319" s="380">
        <f>ROUND(I1319*J1319,2)</f>
        <v>0</v>
      </c>
    </row>
    <row r="1320" spans="1:12" ht="18.75" customHeight="1">
      <c r="A1320" s="266" t="s">
        <v>34</v>
      </c>
      <c r="B1320" s="267" t="s">
        <v>729</v>
      </c>
      <c r="C1320" s="267"/>
      <c r="D1320" s="267"/>
      <c r="E1320" s="267"/>
      <c r="F1320" s="267"/>
      <c r="G1320" s="266" t="s">
        <v>695</v>
      </c>
      <c r="H1320" s="266"/>
      <c r="I1320" s="268">
        <f>4.6&amp;"%"</f>
        <v>0</v>
      </c>
      <c r="J1320" s="380">
        <f>K1308</f>
        <v>0</v>
      </c>
      <c r="K1320" s="380">
        <f>ROUND(I1320*J1320,2)</f>
        <v>0</v>
      </c>
    </row>
    <row r="1321" spans="1:12" ht="18.75" customHeight="1">
      <c r="A1321" s="266" t="s">
        <v>37</v>
      </c>
      <c r="B1321" s="267" t="s">
        <v>732</v>
      </c>
      <c r="C1321" s="267"/>
      <c r="D1321" s="267"/>
      <c r="E1321" s="267"/>
      <c r="F1321" s="267"/>
      <c r="G1321" s="266" t="s">
        <v>695</v>
      </c>
      <c r="H1321" s="266"/>
      <c r="I1321" s="268">
        <f>32.8&amp;"%"</f>
        <v>0</v>
      </c>
      <c r="J1321" s="380">
        <f>K1309+ROUND(I1313*7.3*3.46,2)+ROUND(I1314*5*3.46,2)+ROUND(I1315*2.7*3.46,2)+ROUND(I1316*3.9*3.46,2)</f>
        <v>0</v>
      </c>
      <c r="K1321" s="380">
        <f>ROUND(I1321*J1321,2)</f>
        <v>0</v>
      </c>
    </row>
    <row r="1322" spans="1:12" ht="18.75" customHeight="1">
      <c r="A1322" s="266" t="s">
        <v>40</v>
      </c>
      <c r="B1322" s="267" t="s">
        <v>736</v>
      </c>
      <c r="C1322" s="267"/>
      <c r="D1322" s="267"/>
      <c r="E1322" s="267"/>
      <c r="F1322" s="267"/>
      <c r="G1322" s="266" t="s">
        <v>695</v>
      </c>
      <c r="H1322" s="266"/>
      <c r="I1322" s="268">
        <f>7&amp;"%"</f>
        <v>0</v>
      </c>
      <c r="J1322" s="380">
        <f>K1308+K1320+K1321</f>
        <v>0</v>
      </c>
      <c r="K1322" s="380">
        <f>ROUND(I1322*J1322,2)</f>
        <v>0</v>
      </c>
    </row>
    <row r="1323" spans="1:12" ht="18.75" customHeight="1">
      <c r="A1323" s="266" t="s">
        <v>43</v>
      </c>
      <c r="B1323" s="267" t="s">
        <v>361</v>
      </c>
      <c r="C1323" s="267"/>
      <c r="D1323" s="267"/>
      <c r="E1323" s="267"/>
      <c r="F1323" s="267"/>
      <c r="G1323" s="266" t="s">
        <v>695</v>
      </c>
      <c r="H1323" s="266"/>
      <c r="I1323" s="268"/>
      <c r="J1323" s="268"/>
      <c r="K1323" s="380">
        <f>SUM(K1324:K1326)</f>
        <v>0</v>
      </c>
    </row>
    <row r="1324" spans="1:12" ht="18.75" customHeight="1">
      <c r="A1324" s="266"/>
      <c r="B1324" s="267" t="s">
        <v>698</v>
      </c>
      <c r="C1324" s="267"/>
      <c r="D1324" s="267"/>
      <c r="E1324" s="267"/>
      <c r="F1324" s="267"/>
      <c r="G1324" s="266" t="s">
        <v>699</v>
      </c>
      <c r="H1324" s="266"/>
      <c r="I1324" s="268">
        <f>ROUND(I1310,3)</f>
        <v>0</v>
      </c>
      <c r="J1324" s="380">
        <v>4</v>
      </c>
      <c r="K1324" s="380">
        <f>ROUND(I1324*J1324,2)</f>
        <v>0</v>
      </c>
    </row>
    <row r="1325" spans="1:12" ht="18.75" customHeight="1">
      <c r="A1325" s="266"/>
      <c r="B1325" s="267" t="s">
        <v>741</v>
      </c>
      <c r="C1325" s="267"/>
      <c r="D1325" s="267"/>
      <c r="E1325" s="267"/>
      <c r="F1325" s="267"/>
      <c r="G1325" s="266" t="s">
        <v>699</v>
      </c>
      <c r="H1325" s="266"/>
      <c r="I1325" s="268">
        <f>ROUND(I1313*7.3+I1314*5+I1315*2.7+I1316*3.9,3)</f>
        <v>0</v>
      </c>
      <c r="J1325" s="380">
        <v>4</v>
      </c>
      <c r="K1325" s="380">
        <f>ROUND(I1325*J1325,2)</f>
        <v>0</v>
      </c>
    </row>
    <row r="1326" spans="1:12" ht="27.75" customHeight="1">
      <c r="A1326" s="266"/>
      <c r="B1326" s="267" t="s">
        <v>663</v>
      </c>
      <c r="C1326" s="267" t="s">
        <v>664</v>
      </c>
      <c r="D1326" s="267"/>
      <c r="E1326" s="267"/>
      <c r="F1326" s="267"/>
      <c r="G1326" s="266" t="s">
        <v>656</v>
      </c>
      <c r="H1326" s="266"/>
      <c r="I1326" s="268">
        <f>ROUND(I1313*18.4+I1314*9+I1315*5.8+I1316*0.7,3)</f>
        <v>0</v>
      </c>
      <c r="J1326" s="380">
        <v>2.56</v>
      </c>
      <c r="K1326" s="380">
        <f>ROUND(I1326*J1326,2)</f>
        <v>0</v>
      </c>
    </row>
    <row r="1327" spans="1:12" ht="18.75" customHeight="1">
      <c r="A1327" s="266" t="s">
        <v>46</v>
      </c>
      <c r="B1327" s="267" t="s">
        <v>362</v>
      </c>
      <c r="C1327" s="267"/>
      <c r="D1327" s="267"/>
      <c r="E1327" s="267"/>
      <c r="F1327" s="267"/>
      <c r="G1327" s="266" t="s">
        <v>695</v>
      </c>
      <c r="H1327" s="266"/>
      <c r="I1327" s="268">
        <f>0&amp;"%"</f>
        <v>0</v>
      </c>
      <c r="J1327" s="380">
        <f>K1308+K1320+K1321+K1322+K1323</f>
        <v>0</v>
      </c>
      <c r="K1327" s="380">
        <f>ROUND(I1327*J1327,2)</f>
        <v>0</v>
      </c>
    </row>
    <row r="1328" spans="1:12" ht="18.75" customHeight="1">
      <c r="A1328" s="266" t="s">
        <v>49</v>
      </c>
      <c r="B1328" s="267" t="s">
        <v>363</v>
      </c>
      <c r="C1328" s="267"/>
      <c r="D1328" s="267"/>
      <c r="E1328" s="267"/>
      <c r="F1328" s="267"/>
      <c r="G1328" s="266" t="s">
        <v>695</v>
      </c>
      <c r="H1328" s="266"/>
      <c r="I1328" s="268">
        <f>9&amp;"%"</f>
        <v>0</v>
      </c>
      <c r="J1328" s="380">
        <f>K1308+K1320+K1321+K1322+K1323+K1327</f>
        <v>0</v>
      </c>
      <c r="K1328" s="380">
        <f>ROUND(I1328*J1328,2)</f>
        <v>0</v>
      </c>
    </row>
    <row r="1329" spans="1:12" ht="18.75" customHeight="1">
      <c r="A1329" s="266"/>
      <c r="B1329" s="267" t="s">
        <v>64</v>
      </c>
      <c r="C1329" s="267"/>
      <c r="D1329" s="267"/>
      <c r="E1329" s="267"/>
      <c r="F1329" s="267"/>
      <c r="G1329" s="266" t="s">
        <v>695</v>
      </c>
      <c r="H1329" s="266"/>
      <c r="I1329" s="268"/>
      <c r="J1329" s="268"/>
      <c r="K1329" s="380">
        <f>K1308+K1320+K1321+K1322+K1323+K1327+K1328</f>
        <v>0</v>
      </c>
    </row>
    <row r="1330" spans="1:12" ht="18.75" customHeight="1">
      <c r="A1330" s="266"/>
      <c r="B1330" s="267" t="s">
        <v>752</v>
      </c>
      <c r="C1330" s="267"/>
      <c r="D1330" s="267"/>
      <c r="E1330" s="267"/>
      <c r="F1330" s="267"/>
      <c r="G1330" s="266" t="s">
        <v>695</v>
      </c>
      <c r="H1330" s="266"/>
      <c r="I1330" s="268"/>
      <c r="J1330" s="268"/>
      <c r="K1330" s="380">
        <f>ROUND(K1329/10000,2)</f>
        <v>0</v>
      </c>
    </row>
    <row r="1331" spans="1:11" ht="18.75" customHeight="1">
      <c r="A1331" s="266"/>
      <c r="B1331" s="267"/>
      <c r="C1331" s="267"/>
      <c r="D1331" s="267"/>
      <c r="E1331" s="267"/>
      <c r="F1331" s="267"/>
      <c r="G1331" s="266"/>
      <c r="H1331" s="266"/>
      <c r="I1331" s="268"/>
      <c r="J1331" s="268"/>
      <c r="K1331" s="268"/>
    </row>
    <row r="1332" spans="1:11" ht="18.75" customHeight="1">
      <c r="A1332" s="266"/>
      <c r="B1332" s="267"/>
      <c r="C1332" s="267"/>
      <c r="D1332" s="267"/>
      <c r="E1332" s="267"/>
      <c r="F1332" s="267"/>
      <c r="G1332" s="266"/>
      <c r="H1332" s="266"/>
      <c r="I1332" s="268"/>
      <c r="J1332" s="268"/>
      <c r="K1332" s="268"/>
    </row>
    <row r="1333" spans="1:11" ht="18.75" customHeight="1">
      <c r="A1333" s="266"/>
      <c r="B1333" s="267"/>
      <c r="C1333" s="267"/>
      <c r="D1333" s="267"/>
      <c r="E1333" s="267"/>
      <c r="F1333" s="267"/>
      <c r="G1333" s="266"/>
      <c r="H1333" s="266"/>
      <c r="I1333" s="268"/>
      <c r="J1333" s="268"/>
      <c r="K1333" s="268"/>
    </row>
    <row r="1334" spans="1:11" ht="18.75" customHeight="1">
      <c r="A1334" s="266"/>
      <c r="B1334" s="267"/>
      <c r="C1334" s="267"/>
      <c r="D1334" s="267"/>
      <c r="E1334" s="267"/>
      <c r="F1334" s="267"/>
      <c r="G1334" s="266"/>
      <c r="H1334" s="266"/>
      <c r="I1334" s="268"/>
      <c r="J1334" s="268"/>
      <c r="K1334" s="268"/>
    </row>
    <row r="1335" spans="1:11" ht="18.75" customHeight="1">
      <c r="A1335" s="266"/>
      <c r="B1335" s="267"/>
      <c r="C1335" s="267"/>
      <c r="D1335" s="267"/>
      <c r="E1335" s="267"/>
      <c r="F1335" s="267"/>
      <c r="G1335" s="266"/>
      <c r="H1335" s="266"/>
      <c r="I1335" s="268"/>
      <c r="J1335" s="268"/>
      <c r="K1335" s="268"/>
    </row>
    <row r="1336" spans="1:11" ht="18.75" customHeight="1">
      <c r="A1336" s="266"/>
      <c r="B1336" s="267"/>
      <c r="C1336" s="267"/>
      <c r="D1336" s="267"/>
      <c r="E1336" s="267"/>
      <c r="F1336" s="267"/>
      <c r="G1336" s="266"/>
      <c r="H1336" s="266"/>
      <c r="I1336" s="268"/>
      <c r="J1336" s="268"/>
      <c r="K1336" s="268"/>
    </row>
    <row r="1337" spans="1:11" ht="18.75" customHeight="1">
      <c r="A1337" s="266"/>
      <c r="B1337" s="267"/>
      <c r="C1337" s="267"/>
      <c r="D1337" s="267"/>
      <c r="E1337" s="267"/>
      <c r="F1337" s="267"/>
      <c r="G1337" s="266"/>
      <c r="H1337" s="266"/>
      <c r="I1337" s="268"/>
      <c r="J1337" s="268"/>
      <c r="K1337" s="268"/>
    </row>
    <row r="1338" spans="1:11" ht="7.5" customHeight="1">
      <c r="A1338" s="259"/>
      <c r="B1338" s="259"/>
      <c r="C1338" s="259"/>
      <c r="D1338" s="259"/>
      <c r="E1338" s="259"/>
      <c r="F1338" s="259"/>
      <c r="G1338" s="259"/>
      <c r="H1338" s="259"/>
      <c r="I1338" s="259"/>
      <c r="J1338" s="259"/>
      <c r="K1338" s="259"/>
    </row>
    <row r="1339" spans="1:11" ht="26.25" customHeight="1">
      <c r="A1339" s="260" t="s">
        <v>684</v>
      </c>
      <c r="B1339" s="260"/>
      <c r="C1339" s="260"/>
      <c r="D1339" s="260"/>
      <c r="E1339" s="260"/>
      <c r="F1339" s="260"/>
      <c r="G1339" s="260"/>
      <c r="H1339" s="260"/>
      <c r="I1339" s="260"/>
      <c r="J1339" s="260"/>
      <c r="K1339" s="260"/>
    </row>
    <row r="1340" spans="1:11" ht="18.75" customHeight="1">
      <c r="A1340" s="261" t="s">
        <v>1829</v>
      </c>
      <c r="B1340" s="261"/>
      <c r="C1340" s="261"/>
      <c r="D1340" s="261"/>
      <c r="E1340" s="261"/>
      <c r="F1340" s="261"/>
      <c r="G1340" s="261"/>
      <c r="H1340" s="261"/>
      <c r="I1340" s="261"/>
      <c r="J1340" s="261"/>
      <c r="K1340" s="261"/>
    </row>
    <row r="1341" spans="1:11" ht="18.75" customHeight="1">
      <c r="A1341" s="262" t="s">
        <v>686</v>
      </c>
      <c r="B1341" s="259" t="s">
        <v>1765</v>
      </c>
      <c r="C1341" s="259"/>
      <c r="D1341" s="259"/>
      <c r="E1341" s="259"/>
      <c r="F1341" s="259"/>
      <c r="G1341" s="259"/>
      <c r="H1341" s="263" t="s">
        <v>687</v>
      </c>
      <c r="I1341" s="263"/>
      <c r="J1341" s="263"/>
      <c r="K1341" s="263"/>
    </row>
    <row r="1342" spans="1:11" ht="27.75" customHeight="1">
      <c r="A1342" s="264" t="s">
        <v>688</v>
      </c>
      <c r="B1342" s="265" t="s">
        <v>1830</v>
      </c>
      <c r="C1342" s="265"/>
      <c r="D1342" s="265"/>
      <c r="E1342" s="265"/>
      <c r="F1342" s="265"/>
      <c r="G1342" s="265"/>
      <c r="H1342" s="265"/>
      <c r="I1342" s="265"/>
      <c r="J1342" s="265"/>
      <c r="K1342" s="265"/>
    </row>
    <row r="1343" spans="1:12" ht="18.75" customHeight="1">
      <c r="A1343" s="266" t="s">
        <v>28</v>
      </c>
      <c r="B1343" s="266" t="s">
        <v>690</v>
      </c>
      <c r="C1343" s="266" t="s">
        <v>650</v>
      </c>
      <c r="D1343" s="266"/>
      <c r="E1343" s="266"/>
      <c r="F1343" s="266"/>
      <c r="G1343" s="266" t="s">
        <v>651</v>
      </c>
      <c r="H1343" s="266"/>
      <c r="I1343" s="266" t="s">
        <v>691</v>
      </c>
      <c r="J1343" s="266" t="s">
        <v>692</v>
      </c>
      <c r="K1343" s="266" t="s">
        <v>693</v>
      </c>
    </row>
    <row r="1344" spans="1:12" ht="18.75" customHeight="1">
      <c r="A1344" s="266" t="s">
        <v>31</v>
      </c>
      <c r="B1344" s="267" t="s">
        <v>694</v>
      </c>
      <c r="C1344" s="267"/>
      <c r="D1344" s="267"/>
      <c r="E1344" s="267"/>
      <c r="F1344" s="267"/>
      <c r="G1344" s="266" t="s">
        <v>695</v>
      </c>
      <c r="H1344" s="266"/>
      <c r="I1344" s="268"/>
      <c r="J1344" s="268"/>
      <c r="K1344" s="380">
        <f>K1345+K1347+K1349+K1352+K1353</f>
        <v>0</v>
      </c>
    </row>
    <row r="1345" spans="1:12" ht="18.75" customHeight="1">
      <c r="A1345" s="266" t="s">
        <v>76</v>
      </c>
      <c r="B1345" s="267" t="s">
        <v>353</v>
      </c>
      <c r="C1345" s="267"/>
      <c r="D1345" s="267"/>
      <c r="E1345" s="267"/>
      <c r="F1345" s="267"/>
      <c r="G1345" s="266" t="s">
        <v>695</v>
      </c>
      <c r="H1345" s="266"/>
      <c r="I1345" s="268"/>
      <c r="J1345" s="268"/>
      <c r="K1345" s="380">
        <f>SUM(K1346:K1346)</f>
        <v>0</v>
      </c>
    </row>
    <row r="1346" spans="1:12" ht="18.75" customHeight="1">
      <c r="A1346" s="266"/>
      <c r="B1346" s="267" t="s">
        <v>698</v>
      </c>
      <c r="C1346" s="267"/>
      <c r="D1346" s="267"/>
      <c r="E1346" s="267"/>
      <c r="F1346" s="267"/>
      <c r="G1346" s="266" t="s">
        <v>699</v>
      </c>
      <c r="H1346" s="266"/>
      <c r="I1346" s="268">
        <f>ROUND(9.2,3)</f>
        <v>0</v>
      </c>
      <c r="J1346" s="380">
        <v>3.46</v>
      </c>
      <c r="K1346" s="380">
        <f>ROUND(I1346*J1346,2)</f>
        <v>0</v>
      </c>
    </row>
    <row r="1347" spans="1:12" ht="18.75" customHeight="1">
      <c r="A1347" s="266" t="s">
        <v>152</v>
      </c>
      <c r="B1347" s="267" t="s">
        <v>354</v>
      </c>
      <c r="C1347" s="267"/>
      <c r="D1347" s="267"/>
      <c r="E1347" s="267"/>
      <c r="F1347" s="267"/>
      <c r="G1347" s="266" t="s">
        <v>695</v>
      </c>
      <c r="H1347" s="266"/>
      <c r="I1347" s="268"/>
      <c r="J1347" s="268"/>
      <c r="K1347" s="380">
        <f>SUM(K1348:K1348)</f>
        <v>0</v>
      </c>
    </row>
    <row r="1348" spans="1:12" ht="18.75" customHeight="1">
      <c r="A1348" s="266"/>
      <c r="B1348" s="267" t="s">
        <v>702</v>
      </c>
      <c r="C1348" s="267"/>
      <c r="D1348" s="267"/>
      <c r="E1348" s="267"/>
      <c r="F1348" s="267"/>
      <c r="G1348" s="266" t="s">
        <v>334</v>
      </c>
      <c r="H1348" s="266"/>
      <c r="I1348" s="268">
        <f>ROUND(10,3)</f>
        <v>0</v>
      </c>
      <c r="J1348" s="380">
        <f>K1346+K1350+K1351</f>
        <v>0</v>
      </c>
      <c r="K1348" s="380">
        <f>ROUND(I1348*J1348/100,2)</f>
        <v>0</v>
      </c>
    </row>
    <row r="1349" spans="1:12" ht="18.75" customHeight="1">
      <c r="A1349" s="266" t="s">
        <v>704</v>
      </c>
      <c r="B1349" s="267" t="s">
        <v>705</v>
      </c>
      <c r="C1349" s="267"/>
      <c r="D1349" s="267"/>
      <c r="E1349" s="267"/>
      <c r="F1349" s="267"/>
      <c r="G1349" s="266" t="s">
        <v>695</v>
      </c>
      <c r="H1349" s="266"/>
      <c r="I1349" s="268"/>
      <c r="J1349" s="268"/>
      <c r="K1349" s="380">
        <f>SUM(K1350:K1351)</f>
        <v>0</v>
      </c>
    </row>
    <row r="1350" spans="1:12" ht="18.75" customHeight="1">
      <c r="A1350" s="266"/>
      <c r="B1350" s="267" t="s">
        <v>707</v>
      </c>
      <c r="C1350" s="267" t="s">
        <v>708</v>
      </c>
      <c r="D1350" s="267"/>
      <c r="E1350" s="267"/>
      <c r="F1350" s="267"/>
      <c r="G1350" s="266" t="s">
        <v>709</v>
      </c>
      <c r="H1350" s="266"/>
      <c r="I1350" s="268">
        <f>ROUND(1.76,3)</f>
        <v>0</v>
      </c>
      <c r="J1350" s="380">
        <v>112.25</v>
      </c>
      <c r="K1350" s="380">
        <f>ROUND(I1350*J1350,2)</f>
        <v>0</v>
      </c>
    </row>
    <row r="1351" spans="1:12" ht="18.75" customHeight="1">
      <c r="A1351" s="266"/>
      <c r="B1351" s="267" t="s">
        <v>716</v>
      </c>
      <c r="C1351" s="267" t="s">
        <v>717</v>
      </c>
      <c r="D1351" s="267"/>
      <c r="E1351" s="267"/>
      <c r="F1351" s="267"/>
      <c r="G1351" s="266" t="s">
        <v>709</v>
      </c>
      <c r="H1351" s="266"/>
      <c r="I1351" s="268">
        <f>ROUND(11.25,3)</f>
        <v>0</v>
      </c>
      <c r="J1351" s="380">
        <v>67.52</v>
      </c>
      <c r="K1351" s="380">
        <f>ROUND(I1351*J1351,2)</f>
        <v>0</v>
      </c>
    </row>
    <row r="1352" spans="1:12" ht="18.75" customHeight="1">
      <c r="A1352" s="266" t="s">
        <v>721</v>
      </c>
      <c r="B1352" s="267" t="s">
        <v>722</v>
      </c>
      <c r="C1352" s="267"/>
      <c r="D1352" s="267"/>
      <c r="E1352" s="267"/>
      <c r="F1352" s="267"/>
      <c r="G1352" s="266" t="s">
        <v>695</v>
      </c>
      <c r="H1352" s="266"/>
      <c r="I1352" s="268">
        <f>3.5&amp;"%"</f>
        <v>0</v>
      </c>
      <c r="J1352" s="380">
        <f>K1345+K1347+K1349</f>
        <v>0</v>
      </c>
      <c r="K1352" s="380">
        <f>ROUND(I1352*J1352,2)</f>
        <v>0</v>
      </c>
    </row>
    <row r="1353" spans="1:12" ht="18.75" customHeight="1">
      <c r="A1353" s="266" t="s">
        <v>348</v>
      </c>
      <c r="B1353" s="267" t="s">
        <v>726</v>
      </c>
      <c r="C1353" s="267"/>
      <c r="D1353" s="267"/>
      <c r="E1353" s="267"/>
      <c r="F1353" s="267"/>
      <c r="G1353" s="266" t="s">
        <v>695</v>
      </c>
      <c r="H1353" s="266"/>
      <c r="I1353" s="268">
        <f>4&amp;"%"</f>
        <v>0</v>
      </c>
      <c r="J1353" s="380">
        <f>K1345+K1347+K1349</f>
        <v>0</v>
      </c>
      <c r="K1353" s="380">
        <f>ROUND(I1353*J1353,2)</f>
        <v>0</v>
      </c>
    </row>
    <row r="1354" spans="1:12" ht="18.75" customHeight="1">
      <c r="A1354" s="266" t="s">
        <v>34</v>
      </c>
      <c r="B1354" s="267" t="s">
        <v>729</v>
      </c>
      <c r="C1354" s="267"/>
      <c r="D1354" s="267"/>
      <c r="E1354" s="267"/>
      <c r="F1354" s="267"/>
      <c r="G1354" s="266" t="s">
        <v>695</v>
      </c>
      <c r="H1354" s="266"/>
      <c r="I1354" s="268">
        <f>3.7&amp;"%"</f>
        <v>0</v>
      </c>
      <c r="J1354" s="380">
        <f>K1344</f>
        <v>0</v>
      </c>
      <c r="K1354" s="380">
        <f>ROUND(I1354*J1354,2)</f>
        <v>0</v>
      </c>
    </row>
    <row r="1355" spans="1:12" ht="18.75" customHeight="1">
      <c r="A1355" s="266" t="s">
        <v>37</v>
      </c>
      <c r="B1355" s="267" t="s">
        <v>732</v>
      </c>
      <c r="C1355" s="267"/>
      <c r="D1355" s="267"/>
      <c r="E1355" s="267"/>
      <c r="F1355" s="267"/>
      <c r="G1355" s="266" t="s">
        <v>695</v>
      </c>
      <c r="H1355" s="266"/>
      <c r="I1355" s="268">
        <f>32.8&amp;"%"</f>
        <v>0</v>
      </c>
      <c r="J1355" s="380">
        <f>K1345+ROUND(I1350*2.7*3.46,2)+ROUND(I1351*1.3*3.46,2)</f>
        <v>0</v>
      </c>
      <c r="K1355" s="380">
        <f>ROUND(I1355*J1355,2)</f>
        <v>0</v>
      </c>
    </row>
    <row r="1356" spans="1:12" ht="18.75" customHeight="1">
      <c r="A1356" s="266" t="s">
        <v>40</v>
      </c>
      <c r="B1356" s="267" t="s">
        <v>736</v>
      </c>
      <c r="C1356" s="267"/>
      <c r="D1356" s="267"/>
      <c r="E1356" s="267"/>
      <c r="F1356" s="267"/>
      <c r="G1356" s="266" t="s">
        <v>695</v>
      </c>
      <c r="H1356" s="266"/>
      <c r="I1356" s="268">
        <f>7&amp;"%"</f>
        <v>0</v>
      </c>
      <c r="J1356" s="380">
        <f>K1344+K1354+K1355</f>
        <v>0</v>
      </c>
      <c r="K1356" s="380">
        <f>ROUND(I1356*J1356,2)</f>
        <v>0</v>
      </c>
    </row>
    <row r="1357" spans="1:12" ht="18.75" customHeight="1">
      <c r="A1357" s="266" t="s">
        <v>43</v>
      </c>
      <c r="B1357" s="267" t="s">
        <v>361</v>
      </c>
      <c r="C1357" s="267"/>
      <c r="D1357" s="267"/>
      <c r="E1357" s="267"/>
      <c r="F1357" s="267"/>
      <c r="G1357" s="266" t="s">
        <v>695</v>
      </c>
      <c r="H1357" s="266"/>
      <c r="I1357" s="268"/>
      <c r="J1357" s="268"/>
      <c r="K1357" s="380">
        <f>SUM(K1358:K1360)</f>
        <v>0</v>
      </c>
    </row>
    <row r="1358" spans="1:12" ht="18.75" customHeight="1">
      <c r="A1358" s="266"/>
      <c r="B1358" s="267" t="s">
        <v>698</v>
      </c>
      <c r="C1358" s="267"/>
      <c r="D1358" s="267"/>
      <c r="E1358" s="267"/>
      <c r="F1358" s="267"/>
      <c r="G1358" s="266" t="s">
        <v>699</v>
      </c>
      <c r="H1358" s="266"/>
      <c r="I1358" s="268">
        <f>ROUND(I1346,3)</f>
        <v>0</v>
      </c>
      <c r="J1358" s="380">
        <v>4</v>
      </c>
      <c r="K1358" s="380">
        <f>ROUND(I1358*J1358,2)</f>
        <v>0</v>
      </c>
    </row>
    <row r="1359" spans="1:12" ht="18.75" customHeight="1">
      <c r="A1359" s="266"/>
      <c r="B1359" s="267" t="s">
        <v>741</v>
      </c>
      <c r="C1359" s="267"/>
      <c r="D1359" s="267"/>
      <c r="E1359" s="267"/>
      <c r="F1359" s="267"/>
      <c r="G1359" s="266" t="s">
        <v>699</v>
      </c>
      <c r="H1359" s="266"/>
      <c r="I1359" s="268">
        <f>ROUND(I1350*2.7+I1351*1.3,3)</f>
        <v>0</v>
      </c>
      <c r="J1359" s="380">
        <v>4</v>
      </c>
      <c r="K1359" s="380">
        <f>ROUND(I1359*J1359,2)</f>
        <v>0</v>
      </c>
    </row>
    <row r="1360" spans="1:12" ht="18.75" customHeight="1">
      <c r="A1360" s="266"/>
      <c r="B1360" s="267" t="s">
        <v>663</v>
      </c>
      <c r="C1360" s="267" t="s">
        <v>664</v>
      </c>
      <c r="D1360" s="267"/>
      <c r="E1360" s="267"/>
      <c r="F1360" s="267"/>
      <c r="G1360" s="266" t="s">
        <v>656</v>
      </c>
      <c r="H1360" s="266"/>
      <c r="I1360" s="268">
        <f>ROUND(I1350*14.9+I1351*10.2,3)</f>
        <v>0</v>
      </c>
      <c r="J1360" s="380">
        <v>2.56</v>
      </c>
      <c r="K1360" s="380">
        <f>ROUND(I1360*J1360,2)</f>
        <v>0</v>
      </c>
    </row>
    <row r="1361" spans="1:12" ht="18.75" customHeight="1">
      <c r="A1361" s="266" t="s">
        <v>46</v>
      </c>
      <c r="B1361" s="267" t="s">
        <v>362</v>
      </c>
      <c r="C1361" s="267"/>
      <c r="D1361" s="267"/>
      <c r="E1361" s="267"/>
      <c r="F1361" s="267"/>
      <c r="G1361" s="266" t="s">
        <v>695</v>
      </c>
      <c r="H1361" s="266"/>
      <c r="I1361" s="268">
        <f>0&amp;"%"</f>
        <v>0</v>
      </c>
      <c r="J1361" s="380">
        <f>K1344+K1354+K1355+K1356+K1357</f>
        <v>0</v>
      </c>
      <c r="K1361" s="380">
        <f>ROUND(I1361*J1361,2)</f>
        <v>0</v>
      </c>
    </row>
    <row r="1362" spans="1:12" ht="18.75" customHeight="1">
      <c r="A1362" s="266" t="s">
        <v>49</v>
      </c>
      <c r="B1362" s="267" t="s">
        <v>363</v>
      </c>
      <c r="C1362" s="267"/>
      <c r="D1362" s="267"/>
      <c r="E1362" s="267"/>
      <c r="F1362" s="267"/>
      <c r="G1362" s="266" t="s">
        <v>695</v>
      </c>
      <c r="H1362" s="266"/>
      <c r="I1362" s="268">
        <f>9&amp;"%"</f>
        <v>0</v>
      </c>
      <c r="J1362" s="380">
        <f>K1344+K1354+K1355+K1356+K1357+K1361</f>
        <v>0</v>
      </c>
      <c r="K1362" s="380">
        <f>ROUND(I1362*J1362,2)</f>
        <v>0</v>
      </c>
    </row>
    <row r="1363" spans="1:12" ht="18.75" customHeight="1">
      <c r="A1363" s="266"/>
      <c r="B1363" s="267" t="s">
        <v>64</v>
      </c>
      <c r="C1363" s="267"/>
      <c r="D1363" s="267"/>
      <c r="E1363" s="267"/>
      <c r="F1363" s="267"/>
      <c r="G1363" s="266" t="s">
        <v>695</v>
      </c>
      <c r="H1363" s="266"/>
      <c r="I1363" s="268"/>
      <c r="J1363" s="268"/>
      <c r="K1363" s="380">
        <f>K1344+K1354+K1355+K1356+K1357+K1361+K1362</f>
        <v>0</v>
      </c>
    </row>
    <row r="1364" spans="1:12" ht="18.75" customHeight="1">
      <c r="A1364" s="266"/>
      <c r="B1364" s="267" t="s">
        <v>752</v>
      </c>
      <c r="C1364" s="267"/>
      <c r="D1364" s="267"/>
      <c r="E1364" s="267"/>
      <c r="F1364" s="267"/>
      <c r="G1364" s="266" t="s">
        <v>695</v>
      </c>
      <c r="H1364" s="266"/>
      <c r="I1364" s="268"/>
      <c r="J1364" s="268"/>
      <c r="K1364" s="380">
        <f>ROUND(K1363/100,2)</f>
        <v>0</v>
      </c>
    </row>
    <row r="1365" spans="1:11" ht="18.75" customHeight="1">
      <c r="A1365" s="266"/>
      <c r="B1365" s="267"/>
      <c r="C1365" s="267"/>
      <c r="D1365" s="267"/>
      <c r="E1365" s="267"/>
      <c r="F1365" s="267"/>
      <c r="G1365" s="266"/>
      <c r="H1365" s="266"/>
      <c r="I1365" s="268"/>
      <c r="J1365" s="268"/>
      <c r="K1365" s="268"/>
    </row>
    <row r="1366" spans="1:11" ht="18.75" customHeight="1">
      <c r="A1366" s="266"/>
      <c r="B1366" s="267"/>
      <c r="C1366" s="267"/>
      <c r="D1366" s="267"/>
      <c r="E1366" s="267"/>
      <c r="F1366" s="267"/>
      <c r="G1366" s="266"/>
      <c r="H1366" s="266"/>
      <c r="I1366" s="268"/>
      <c r="J1366" s="268"/>
      <c r="K1366" s="268"/>
    </row>
    <row r="1367" spans="1:11" ht="18.75" customHeight="1">
      <c r="A1367" s="266"/>
      <c r="B1367" s="267"/>
      <c r="C1367" s="267"/>
      <c r="D1367" s="267"/>
      <c r="E1367" s="267"/>
      <c r="F1367" s="267"/>
      <c r="G1367" s="266"/>
      <c r="H1367" s="266"/>
      <c r="I1367" s="268"/>
      <c r="J1367" s="268"/>
      <c r="K1367" s="268"/>
    </row>
    <row r="1368" spans="1:11" ht="18.75" customHeight="1">
      <c r="A1368" s="266"/>
      <c r="B1368" s="267"/>
      <c r="C1368" s="267"/>
      <c r="D1368" s="267"/>
      <c r="E1368" s="267"/>
      <c r="F1368" s="267"/>
      <c r="G1368" s="266"/>
      <c r="H1368" s="266"/>
      <c r="I1368" s="268"/>
      <c r="J1368" s="268"/>
      <c r="K1368" s="268"/>
    </row>
    <row r="1369" spans="1:11" ht="18.75" customHeight="1">
      <c r="A1369" s="266"/>
      <c r="B1369" s="267"/>
      <c r="C1369" s="267"/>
      <c r="D1369" s="267"/>
      <c r="E1369" s="267"/>
      <c r="F1369" s="267"/>
      <c r="G1369" s="266"/>
      <c r="H1369" s="266"/>
      <c r="I1369" s="268"/>
      <c r="J1369" s="268"/>
      <c r="K1369" s="268"/>
    </row>
    <row r="1370" spans="1:11" ht="18.75" customHeight="1">
      <c r="A1370" s="266"/>
      <c r="B1370" s="267"/>
      <c r="C1370" s="267"/>
      <c r="D1370" s="267"/>
      <c r="E1370" s="267"/>
      <c r="F1370" s="267"/>
      <c r="G1370" s="266"/>
      <c r="H1370" s="266"/>
      <c r="I1370" s="268"/>
      <c r="J1370" s="268"/>
      <c r="K1370" s="268"/>
    </row>
    <row r="1371" spans="1:11" ht="18.75" customHeight="1">
      <c r="A1371" s="266"/>
      <c r="B1371" s="267"/>
      <c r="C1371" s="267"/>
      <c r="D1371" s="267"/>
      <c r="E1371" s="267"/>
      <c r="F1371" s="267"/>
      <c r="G1371" s="266"/>
      <c r="H1371" s="266"/>
      <c r="I1371" s="268"/>
      <c r="J1371" s="268"/>
      <c r="K1371" s="268"/>
    </row>
    <row r="1372" spans="1:11" ht="18.75" customHeight="1">
      <c r="A1372" s="266"/>
      <c r="B1372" s="267"/>
      <c r="C1372" s="267"/>
      <c r="D1372" s="267"/>
      <c r="E1372" s="267"/>
      <c r="F1372" s="267"/>
      <c r="G1372" s="266"/>
      <c r="H1372" s="266"/>
      <c r="I1372" s="268"/>
      <c r="J1372" s="268"/>
      <c r="K1372" s="268"/>
    </row>
    <row r="1373" spans="1:11" ht="18.75" customHeight="1">
      <c r="A1373" s="266"/>
      <c r="B1373" s="267"/>
      <c r="C1373" s="267"/>
      <c r="D1373" s="267"/>
      <c r="E1373" s="267"/>
      <c r="F1373" s="267"/>
      <c r="G1373" s="266"/>
      <c r="H1373" s="266"/>
      <c r="I1373" s="268"/>
      <c r="J1373" s="268"/>
      <c r="K1373" s="268"/>
    </row>
    <row r="1374" spans="1:11" ht="18.75" customHeight="1">
      <c r="A1374" s="266"/>
      <c r="B1374" s="267"/>
      <c r="C1374" s="267"/>
      <c r="D1374" s="267"/>
      <c r="E1374" s="267"/>
      <c r="F1374" s="267"/>
      <c r="G1374" s="266"/>
      <c r="H1374" s="266"/>
      <c r="I1374" s="268"/>
      <c r="J1374" s="268"/>
      <c r="K1374" s="268"/>
    </row>
    <row r="1375" spans="1:11" ht="7.5" customHeight="1">
      <c r="A1375" s="259"/>
      <c r="B1375" s="259"/>
      <c r="C1375" s="259"/>
      <c r="D1375" s="259"/>
      <c r="E1375" s="259"/>
      <c r="F1375" s="259"/>
      <c r="G1375" s="259"/>
      <c r="H1375" s="259"/>
      <c r="I1375" s="259"/>
      <c r="J1375" s="259"/>
      <c r="K1375" s="259"/>
    </row>
    <row r="1376" spans="1:11" ht="26.25" customHeight="1">
      <c r="A1376" s="260" t="s">
        <v>684</v>
      </c>
      <c r="B1376" s="260"/>
      <c r="C1376" s="260"/>
      <c r="D1376" s="260"/>
      <c r="E1376" s="260"/>
      <c r="F1376" s="260"/>
      <c r="G1376" s="260"/>
      <c r="H1376" s="260"/>
      <c r="I1376" s="260"/>
      <c r="J1376" s="260"/>
      <c r="K1376" s="260"/>
    </row>
    <row r="1377" spans="1:11" ht="18.75" customHeight="1">
      <c r="A1377" s="261" t="s">
        <v>1857</v>
      </c>
      <c r="B1377" s="261"/>
      <c r="C1377" s="261"/>
      <c r="D1377" s="261"/>
      <c r="E1377" s="261"/>
      <c r="F1377" s="261"/>
      <c r="G1377" s="261"/>
      <c r="H1377" s="261"/>
      <c r="I1377" s="261"/>
      <c r="J1377" s="261"/>
      <c r="K1377" s="261"/>
    </row>
    <row r="1378" spans="1:11" ht="18.75" customHeight="1">
      <c r="A1378" s="262" t="s">
        <v>686</v>
      </c>
      <c r="B1378" s="259" t="s">
        <v>1858</v>
      </c>
      <c r="C1378" s="259"/>
      <c r="D1378" s="259"/>
      <c r="E1378" s="259"/>
      <c r="F1378" s="259"/>
      <c r="G1378" s="259"/>
      <c r="H1378" s="263" t="s">
        <v>687</v>
      </c>
      <c r="I1378" s="263"/>
      <c r="J1378" s="263"/>
      <c r="K1378" s="263"/>
    </row>
    <row r="1379" spans="1:11" ht="27.75" customHeight="1">
      <c r="A1379" s="264" t="s">
        <v>688</v>
      </c>
      <c r="B1379" s="265" t="s">
        <v>1762</v>
      </c>
      <c r="C1379" s="265"/>
      <c r="D1379" s="265"/>
      <c r="E1379" s="265"/>
      <c r="F1379" s="265"/>
      <c r="G1379" s="265"/>
      <c r="H1379" s="265"/>
      <c r="I1379" s="265"/>
      <c r="J1379" s="265"/>
      <c r="K1379" s="265"/>
    </row>
    <row r="1380" spans="1:12" ht="18.75" customHeight="1">
      <c r="A1380" s="266" t="s">
        <v>28</v>
      </c>
      <c r="B1380" s="266" t="s">
        <v>690</v>
      </c>
      <c r="C1380" s="266" t="s">
        <v>650</v>
      </c>
      <c r="D1380" s="266"/>
      <c r="E1380" s="266"/>
      <c r="F1380" s="266"/>
      <c r="G1380" s="266" t="s">
        <v>651</v>
      </c>
      <c r="H1380" s="266"/>
      <c r="I1380" s="266" t="s">
        <v>691</v>
      </c>
      <c r="J1380" s="266" t="s">
        <v>692</v>
      </c>
      <c r="K1380" s="266" t="s">
        <v>693</v>
      </c>
    </row>
    <row r="1381" spans="1:12" ht="18.75" customHeight="1">
      <c r="A1381" s="266" t="s">
        <v>31</v>
      </c>
      <c r="B1381" s="267" t="s">
        <v>694</v>
      </c>
      <c r="C1381" s="267"/>
      <c r="D1381" s="267"/>
      <c r="E1381" s="267"/>
      <c r="F1381" s="267"/>
      <c r="G1381" s="266" t="s">
        <v>695</v>
      </c>
      <c r="H1381" s="266"/>
      <c r="I1381" s="268"/>
      <c r="J1381" s="268"/>
      <c r="K1381" s="380">
        <f>K1382+K1384+K1386+K1391+K1392</f>
        <v>0</v>
      </c>
    </row>
    <row r="1382" spans="1:12" ht="18.75" customHeight="1">
      <c r="A1382" s="266" t="s">
        <v>76</v>
      </c>
      <c r="B1382" s="267" t="s">
        <v>353</v>
      </c>
      <c r="C1382" s="267"/>
      <c r="D1382" s="267"/>
      <c r="E1382" s="267"/>
      <c r="F1382" s="267"/>
      <c r="G1382" s="266" t="s">
        <v>695</v>
      </c>
      <c r="H1382" s="266"/>
      <c r="I1382" s="268"/>
      <c r="J1382" s="268"/>
      <c r="K1382" s="380">
        <f>SUM(K1383:K1383)</f>
        <v>0</v>
      </c>
    </row>
    <row r="1383" spans="1:12" ht="18.75" customHeight="1">
      <c r="A1383" s="266"/>
      <c r="B1383" s="267" t="s">
        <v>698</v>
      </c>
      <c r="C1383" s="267"/>
      <c r="D1383" s="267"/>
      <c r="E1383" s="267"/>
      <c r="F1383" s="267"/>
      <c r="G1383" s="266" t="s">
        <v>699</v>
      </c>
      <c r="H1383" s="266"/>
      <c r="I1383" s="268">
        <f>ROUND(35,3)</f>
        <v>0</v>
      </c>
      <c r="J1383" s="380">
        <v>3.46</v>
      </c>
      <c r="K1383" s="380">
        <f>ROUND(I1383*J1383,2)</f>
        <v>0</v>
      </c>
    </row>
    <row r="1384" spans="1:12" ht="18.75" customHeight="1">
      <c r="A1384" s="266" t="s">
        <v>152</v>
      </c>
      <c r="B1384" s="267" t="s">
        <v>354</v>
      </c>
      <c r="C1384" s="267"/>
      <c r="D1384" s="267"/>
      <c r="E1384" s="267"/>
      <c r="F1384" s="267"/>
      <c r="G1384" s="266" t="s">
        <v>695</v>
      </c>
      <c r="H1384" s="266"/>
      <c r="I1384" s="268"/>
      <c r="J1384" s="268"/>
      <c r="K1384" s="380">
        <f>SUM(K1385:K1385)</f>
        <v>0</v>
      </c>
    </row>
    <row r="1385" spans="1:12" ht="18.75" customHeight="1">
      <c r="A1385" s="266"/>
      <c r="B1385" s="267" t="s">
        <v>702</v>
      </c>
      <c r="C1385" s="267"/>
      <c r="D1385" s="267"/>
      <c r="E1385" s="267"/>
      <c r="F1385" s="267"/>
      <c r="G1385" s="266" t="s">
        <v>334</v>
      </c>
      <c r="H1385" s="266"/>
      <c r="I1385" s="268">
        <f>ROUND(3,3)</f>
        <v>0</v>
      </c>
      <c r="J1385" s="380">
        <f>K1383+K1387+K1388+K1389+K1390</f>
        <v>0</v>
      </c>
      <c r="K1385" s="380">
        <f>ROUND(I1385*J1385/100,2)</f>
        <v>0</v>
      </c>
    </row>
    <row r="1386" spans="1:12" ht="18.75" customHeight="1">
      <c r="A1386" s="266" t="s">
        <v>704</v>
      </c>
      <c r="B1386" s="267" t="s">
        <v>705</v>
      </c>
      <c r="C1386" s="267"/>
      <c r="D1386" s="267"/>
      <c r="E1386" s="267"/>
      <c r="F1386" s="267"/>
      <c r="G1386" s="266" t="s">
        <v>695</v>
      </c>
      <c r="H1386" s="266"/>
      <c r="I1386" s="268"/>
      <c r="J1386" s="268"/>
      <c r="K1386" s="380">
        <f>SUM(K1387:K1390)</f>
        <v>0</v>
      </c>
    </row>
    <row r="1387" spans="1:12" ht="18.75" customHeight="1">
      <c r="A1387" s="266"/>
      <c r="B1387" s="267" t="s">
        <v>707</v>
      </c>
      <c r="C1387" s="267" t="s">
        <v>708</v>
      </c>
      <c r="D1387" s="267"/>
      <c r="E1387" s="267"/>
      <c r="F1387" s="267"/>
      <c r="G1387" s="266" t="s">
        <v>709</v>
      </c>
      <c r="H1387" s="266"/>
      <c r="I1387" s="268">
        <f>ROUND(1,3)</f>
        <v>0</v>
      </c>
      <c r="J1387" s="380">
        <v>112.25</v>
      </c>
      <c r="K1387" s="380">
        <f>ROUND(I1387*J1387,2)</f>
        <v>0</v>
      </c>
    </row>
    <row r="1388" spans="1:12" ht="18.75" customHeight="1">
      <c r="A1388" s="266"/>
      <c r="B1388" s="267" t="s">
        <v>711</v>
      </c>
      <c r="C1388" s="267" t="s">
        <v>712</v>
      </c>
      <c r="D1388" s="267"/>
      <c r="E1388" s="267"/>
      <c r="F1388" s="267"/>
      <c r="G1388" s="266" t="s">
        <v>709</v>
      </c>
      <c r="H1388" s="266"/>
      <c r="I1388" s="268">
        <f>ROUND(0.5,3)</f>
        <v>0</v>
      </c>
      <c r="J1388" s="380">
        <v>55.49</v>
      </c>
      <c r="K1388" s="380">
        <f>ROUND(I1388*J1388,2)</f>
        <v>0</v>
      </c>
    </row>
    <row r="1389" spans="1:12" ht="18.75" customHeight="1">
      <c r="A1389" s="266"/>
      <c r="B1389" s="267" t="s">
        <v>716</v>
      </c>
      <c r="C1389" s="267" t="s">
        <v>717</v>
      </c>
      <c r="D1389" s="267"/>
      <c r="E1389" s="267"/>
      <c r="F1389" s="267"/>
      <c r="G1389" s="266" t="s">
        <v>709</v>
      </c>
      <c r="H1389" s="266"/>
      <c r="I1389" s="268">
        <f>ROUND(6.5,3)</f>
        <v>0</v>
      </c>
      <c r="J1389" s="380">
        <v>67.52</v>
      </c>
      <c r="K1389" s="380">
        <f>ROUND(I1389*J1389,2)</f>
        <v>0</v>
      </c>
    </row>
    <row r="1390" spans="1:12" ht="18.75" customHeight="1">
      <c r="A1390" s="266"/>
      <c r="B1390" s="267" t="s">
        <v>998</v>
      </c>
      <c r="C1390" s="267"/>
      <c r="D1390" s="267"/>
      <c r="E1390" s="267"/>
      <c r="F1390" s="267"/>
      <c r="G1390" s="266" t="s">
        <v>709</v>
      </c>
      <c r="H1390" s="266"/>
      <c r="I1390" s="268">
        <f>ROUND(9.36,3)</f>
        <v>0</v>
      </c>
      <c r="J1390" s="380">
        <v>0.82</v>
      </c>
      <c r="K1390" s="380">
        <f>ROUND(I1390*J1390,2)</f>
        <v>0</v>
      </c>
    </row>
    <row r="1391" spans="1:12" ht="18.75" customHeight="1">
      <c r="A1391" s="266" t="s">
        <v>721</v>
      </c>
      <c r="B1391" s="267" t="s">
        <v>722</v>
      </c>
      <c r="C1391" s="267"/>
      <c r="D1391" s="267"/>
      <c r="E1391" s="267"/>
      <c r="F1391" s="267"/>
      <c r="G1391" s="266" t="s">
        <v>695</v>
      </c>
      <c r="H1391" s="266"/>
      <c r="I1391" s="268">
        <f>3.5&amp;"%"</f>
        <v>0</v>
      </c>
      <c r="J1391" s="380">
        <f>K1382+K1384+K1386</f>
        <v>0</v>
      </c>
      <c r="K1391" s="380">
        <f>ROUND(I1391*J1391,2)</f>
        <v>0</v>
      </c>
    </row>
    <row r="1392" spans="1:12" ht="18.75" customHeight="1">
      <c r="A1392" s="266" t="s">
        <v>348</v>
      </c>
      <c r="B1392" s="267" t="s">
        <v>726</v>
      </c>
      <c r="C1392" s="267"/>
      <c r="D1392" s="267"/>
      <c r="E1392" s="267"/>
      <c r="F1392" s="267"/>
      <c r="G1392" s="266" t="s">
        <v>695</v>
      </c>
      <c r="H1392" s="266"/>
      <c r="I1392" s="268">
        <f>4&amp;"%"</f>
        <v>0</v>
      </c>
      <c r="J1392" s="380">
        <f>K1382+K1384+K1386</f>
        <v>0</v>
      </c>
      <c r="K1392" s="380">
        <f>ROUND(I1392*J1392,2)</f>
        <v>0</v>
      </c>
    </row>
    <row r="1393" spans="1:12" ht="18.75" customHeight="1">
      <c r="A1393" s="266" t="s">
        <v>34</v>
      </c>
      <c r="B1393" s="267" t="s">
        <v>729</v>
      </c>
      <c r="C1393" s="267"/>
      <c r="D1393" s="267"/>
      <c r="E1393" s="267"/>
      <c r="F1393" s="267"/>
      <c r="G1393" s="266" t="s">
        <v>695</v>
      </c>
      <c r="H1393" s="266"/>
      <c r="I1393" s="268">
        <f>3.7&amp;"%"</f>
        <v>0</v>
      </c>
      <c r="J1393" s="380">
        <f>K1381</f>
        <v>0</v>
      </c>
      <c r="K1393" s="380">
        <f>ROUND(I1393*J1393,2)</f>
        <v>0</v>
      </c>
    </row>
    <row r="1394" spans="1:12" ht="18.75" customHeight="1">
      <c r="A1394" s="266" t="s">
        <v>37</v>
      </c>
      <c r="B1394" s="267" t="s">
        <v>732</v>
      </c>
      <c r="C1394" s="267"/>
      <c r="D1394" s="267"/>
      <c r="E1394" s="267"/>
      <c r="F1394" s="267"/>
      <c r="G1394" s="266" t="s">
        <v>695</v>
      </c>
      <c r="H1394" s="266"/>
      <c r="I1394" s="268">
        <f>32.8&amp;"%"</f>
        <v>0</v>
      </c>
      <c r="J1394" s="380">
        <f>K1382+ROUND(I1387*2.7*3.46,2)+ROUND(I1388*2.4*3.46,2)+ROUND(I1389*1.3*3.46,2)</f>
        <v>0</v>
      </c>
      <c r="K1394" s="380">
        <f>ROUND(I1394*J1394,2)</f>
        <v>0</v>
      </c>
    </row>
    <row r="1395" spans="1:12" ht="18.75" customHeight="1">
      <c r="A1395" s="266" t="s">
        <v>40</v>
      </c>
      <c r="B1395" s="267" t="s">
        <v>736</v>
      </c>
      <c r="C1395" s="267"/>
      <c r="D1395" s="267"/>
      <c r="E1395" s="267"/>
      <c r="F1395" s="267"/>
      <c r="G1395" s="266" t="s">
        <v>695</v>
      </c>
      <c r="H1395" s="266"/>
      <c r="I1395" s="268">
        <f>7&amp;"%"</f>
        <v>0</v>
      </c>
      <c r="J1395" s="380">
        <f>K1381+K1393+K1394</f>
        <v>0</v>
      </c>
      <c r="K1395" s="380">
        <f>ROUND(I1395*J1395,2)</f>
        <v>0</v>
      </c>
    </row>
    <row r="1396" spans="1:12" ht="18.75" customHeight="1">
      <c r="A1396" s="266" t="s">
        <v>43</v>
      </c>
      <c r="B1396" s="267" t="s">
        <v>361</v>
      </c>
      <c r="C1396" s="267"/>
      <c r="D1396" s="267"/>
      <c r="E1396" s="267"/>
      <c r="F1396" s="267"/>
      <c r="G1396" s="266" t="s">
        <v>695</v>
      </c>
      <c r="H1396" s="266"/>
      <c r="I1396" s="268"/>
      <c r="J1396" s="268"/>
      <c r="K1396" s="380">
        <f>SUM(K1397:K1399)</f>
        <v>0</v>
      </c>
    </row>
    <row r="1397" spans="1:12" ht="18.75" customHeight="1">
      <c r="A1397" s="266"/>
      <c r="B1397" s="267" t="s">
        <v>698</v>
      </c>
      <c r="C1397" s="267"/>
      <c r="D1397" s="267"/>
      <c r="E1397" s="267"/>
      <c r="F1397" s="267"/>
      <c r="G1397" s="266" t="s">
        <v>699</v>
      </c>
      <c r="H1397" s="266"/>
      <c r="I1397" s="268">
        <f>ROUND(I1383,3)</f>
        <v>0</v>
      </c>
      <c r="J1397" s="380">
        <v>4</v>
      </c>
      <c r="K1397" s="380">
        <f>ROUND(I1397*J1397,2)</f>
        <v>0</v>
      </c>
    </row>
    <row r="1398" spans="1:12" ht="18.75" customHeight="1">
      <c r="A1398" s="266"/>
      <c r="B1398" s="267" t="s">
        <v>741</v>
      </c>
      <c r="C1398" s="267"/>
      <c r="D1398" s="267"/>
      <c r="E1398" s="267"/>
      <c r="F1398" s="267"/>
      <c r="G1398" s="266" t="s">
        <v>699</v>
      </c>
      <c r="H1398" s="266"/>
      <c r="I1398" s="268">
        <f>ROUND(I1387*2.7+I1388*2.4+I1389*1.3,3)</f>
        <v>0</v>
      </c>
      <c r="J1398" s="380">
        <v>4</v>
      </c>
      <c r="K1398" s="380">
        <f>ROUND(I1398*J1398,2)</f>
        <v>0</v>
      </c>
    </row>
    <row r="1399" spans="1:12" ht="18.75" customHeight="1">
      <c r="A1399" s="266"/>
      <c r="B1399" s="267" t="s">
        <v>663</v>
      </c>
      <c r="C1399" s="267" t="s">
        <v>664</v>
      </c>
      <c r="D1399" s="267"/>
      <c r="E1399" s="267"/>
      <c r="F1399" s="267"/>
      <c r="G1399" s="266" t="s">
        <v>656</v>
      </c>
      <c r="H1399" s="266"/>
      <c r="I1399" s="268">
        <f>ROUND(I1387*14.9+I1388*8.4+I1389*10.2,3)</f>
        <v>0</v>
      </c>
      <c r="J1399" s="380">
        <v>2.56</v>
      </c>
      <c r="K1399" s="380">
        <f>ROUND(I1399*J1399,2)</f>
        <v>0</v>
      </c>
    </row>
    <row r="1400" spans="1:12" ht="18.75" customHeight="1">
      <c r="A1400" s="266" t="s">
        <v>46</v>
      </c>
      <c r="B1400" s="267" t="s">
        <v>362</v>
      </c>
      <c r="C1400" s="267"/>
      <c r="D1400" s="267"/>
      <c r="E1400" s="267"/>
      <c r="F1400" s="267"/>
      <c r="G1400" s="266" t="s">
        <v>695</v>
      </c>
      <c r="H1400" s="266"/>
      <c r="I1400" s="268">
        <f>0&amp;"%"</f>
        <v>0</v>
      </c>
      <c r="J1400" s="380">
        <f>K1381+K1393+K1394+K1395+K1396</f>
        <v>0</v>
      </c>
      <c r="K1400" s="380">
        <f>ROUND(I1400*J1400,2)</f>
        <v>0</v>
      </c>
    </row>
    <row r="1401" spans="1:12" ht="18.75" customHeight="1">
      <c r="A1401" s="266" t="s">
        <v>49</v>
      </c>
      <c r="B1401" s="267" t="s">
        <v>363</v>
      </c>
      <c r="C1401" s="267"/>
      <c r="D1401" s="267"/>
      <c r="E1401" s="267"/>
      <c r="F1401" s="267"/>
      <c r="G1401" s="266" t="s">
        <v>695</v>
      </c>
      <c r="H1401" s="266"/>
      <c r="I1401" s="268">
        <f>9&amp;"%"</f>
        <v>0</v>
      </c>
      <c r="J1401" s="380">
        <f>K1381+K1393+K1394+K1395+K1396+K1400</f>
        <v>0</v>
      </c>
      <c r="K1401" s="380">
        <f>ROUND(I1401*J1401,2)</f>
        <v>0</v>
      </c>
    </row>
    <row r="1402" spans="1:12" ht="18.75" customHeight="1">
      <c r="A1402" s="266"/>
      <c r="B1402" s="267" t="s">
        <v>64</v>
      </c>
      <c r="C1402" s="267"/>
      <c r="D1402" s="267"/>
      <c r="E1402" s="267"/>
      <c r="F1402" s="267"/>
      <c r="G1402" s="266" t="s">
        <v>695</v>
      </c>
      <c r="H1402" s="266"/>
      <c r="I1402" s="268"/>
      <c r="J1402" s="268"/>
      <c r="K1402" s="380">
        <f>K1381+K1393+K1394+K1395+K1396+K1400+K1401</f>
        <v>0</v>
      </c>
    </row>
    <row r="1403" spans="1:12" ht="18.75" customHeight="1">
      <c r="A1403" s="266"/>
      <c r="B1403" s="267" t="s">
        <v>752</v>
      </c>
      <c r="C1403" s="267"/>
      <c r="D1403" s="267"/>
      <c r="E1403" s="267"/>
      <c r="F1403" s="267"/>
      <c r="G1403" s="266" t="s">
        <v>695</v>
      </c>
      <c r="H1403" s="266"/>
      <c r="I1403" s="268"/>
      <c r="J1403" s="268"/>
      <c r="K1403" s="380">
        <f>ROUND(K1402/100,2)</f>
        <v>0</v>
      </c>
    </row>
    <row r="1404" spans="1:11" ht="18.75" customHeight="1">
      <c r="A1404" s="266"/>
      <c r="B1404" s="267"/>
      <c r="C1404" s="267"/>
      <c r="D1404" s="267"/>
      <c r="E1404" s="267"/>
      <c r="F1404" s="267"/>
      <c r="G1404" s="266"/>
      <c r="H1404" s="266"/>
      <c r="I1404" s="268"/>
      <c r="J1404" s="268"/>
      <c r="K1404" s="268"/>
    </row>
    <row r="1405" spans="1:11" ht="18.75" customHeight="1">
      <c r="A1405" s="266"/>
      <c r="B1405" s="267"/>
      <c r="C1405" s="267"/>
      <c r="D1405" s="267"/>
      <c r="E1405" s="267"/>
      <c r="F1405" s="267"/>
      <c r="G1405" s="266"/>
      <c r="H1405" s="266"/>
      <c r="I1405" s="268"/>
      <c r="J1405" s="268"/>
      <c r="K1405" s="268"/>
    </row>
    <row r="1406" spans="1:11" ht="18.75" customHeight="1">
      <c r="A1406" s="266"/>
      <c r="B1406" s="267"/>
      <c r="C1406" s="267"/>
      <c r="D1406" s="267"/>
      <c r="E1406" s="267"/>
      <c r="F1406" s="267"/>
      <c r="G1406" s="266"/>
      <c r="H1406" s="266"/>
      <c r="I1406" s="268"/>
      <c r="J1406" s="268"/>
      <c r="K1406" s="268"/>
    </row>
    <row r="1407" spans="1:11" ht="18.75" customHeight="1">
      <c r="A1407" s="266"/>
      <c r="B1407" s="267"/>
      <c r="C1407" s="267"/>
      <c r="D1407" s="267"/>
      <c r="E1407" s="267"/>
      <c r="F1407" s="267"/>
      <c r="G1407" s="266"/>
      <c r="H1407" s="266"/>
      <c r="I1407" s="268"/>
      <c r="J1407" s="268"/>
      <c r="K1407" s="268"/>
    </row>
    <row r="1408" spans="1:11" ht="18.75" customHeight="1">
      <c r="A1408" s="266"/>
      <c r="B1408" s="267"/>
      <c r="C1408" s="267"/>
      <c r="D1408" s="267"/>
      <c r="E1408" s="267"/>
      <c r="F1408" s="267"/>
      <c r="G1408" s="266"/>
      <c r="H1408" s="266"/>
      <c r="I1408" s="268"/>
      <c r="J1408" s="268"/>
      <c r="K1408" s="268"/>
    </row>
    <row r="1409" spans="1:11" ht="18.75" customHeight="1">
      <c r="A1409" s="266"/>
      <c r="B1409" s="267"/>
      <c r="C1409" s="267"/>
      <c r="D1409" s="267"/>
      <c r="E1409" s="267"/>
      <c r="F1409" s="267"/>
      <c r="G1409" s="266"/>
      <c r="H1409" s="266"/>
      <c r="I1409" s="268"/>
      <c r="J1409" s="268"/>
      <c r="K1409" s="268"/>
    </row>
    <row r="1410" spans="1:11" ht="18.75" customHeight="1">
      <c r="A1410" s="266"/>
      <c r="B1410" s="267"/>
      <c r="C1410" s="267"/>
      <c r="D1410" s="267"/>
      <c r="E1410" s="267"/>
      <c r="F1410" s="267"/>
      <c r="G1410" s="266"/>
      <c r="H1410" s="266"/>
      <c r="I1410" s="268"/>
      <c r="J1410" s="268"/>
      <c r="K1410" s="268"/>
    </row>
    <row r="1411" spans="1:11" ht="18.75" customHeight="1">
      <c r="A1411" s="266"/>
      <c r="B1411" s="267"/>
      <c r="C1411" s="267"/>
      <c r="D1411" s="267"/>
      <c r="E1411" s="267"/>
      <c r="F1411" s="267"/>
      <c r="G1411" s="266"/>
      <c r="H1411" s="266"/>
      <c r="I1411" s="268"/>
      <c r="J1411" s="268"/>
      <c r="K1411" s="268"/>
    </row>
    <row r="1412" spans="1:11" ht="7.5" customHeight="1">
      <c r="A1412" s="259"/>
      <c r="B1412" s="259"/>
      <c r="C1412" s="259"/>
      <c r="D1412" s="259"/>
      <c r="E1412" s="259"/>
      <c r="F1412" s="259"/>
      <c r="G1412" s="259"/>
      <c r="H1412" s="259"/>
      <c r="I1412" s="259"/>
      <c r="J1412" s="259"/>
      <c r="K1412" s="259"/>
    </row>
    <row r="1413" spans="1:11" ht="26.25" customHeight="1">
      <c r="A1413" s="260" t="s">
        <v>684</v>
      </c>
      <c r="B1413" s="260"/>
      <c r="C1413" s="260"/>
      <c r="D1413" s="260"/>
      <c r="E1413" s="260"/>
      <c r="F1413" s="260"/>
      <c r="G1413" s="260"/>
      <c r="H1413" s="260"/>
      <c r="I1413" s="260"/>
      <c r="J1413" s="260"/>
      <c r="K1413" s="260"/>
    </row>
    <row r="1414" spans="1:11" ht="18.75" customHeight="1">
      <c r="A1414" s="261" t="s">
        <v>1859</v>
      </c>
      <c r="B1414" s="261"/>
      <c r="C1414" s="261"/>
      <c r="D1414" s="261"/>
      <c r="E1414" s="261"/>
      <c r="F1414" s="261"/>
      <c r="G1414" s="261"/>
      <c r="H1414" s="261"/>
      <c r="I1414" s="261"/>
      <c r="J1414" s="261"/>
      <c r="K1414" s="261"/>
    </row>
    <row r="1415" spans="1:11" ht="18.75" customHeight="1">
      <c r="A1415" s="262" t="s">
        <v>686</v>
      </c>
      <c r="B1415" s="259" t="s">
        <v>1860</v>
      </c>
      <c r="C1415" s="259"/>
      <c r="D1415" s="259"/>
      <c r="E1415" s="259"/>
      <c r="F1415" s="259"/>
      <c r="G1415" s="259"/>
      <c r="H1415" s="263" t="s">
        <v>687</v>
      </c>
      <c r="I1415" s="263"/>
      <c r="J1415" s="263"/>
      <c r="K1415" s="263"/>
    </row>
    <row r="1416" spans="1:11" ht="53.25" customHeight="1">
      <c r="A1416" s="264" t="s">
        <v>688</v>
      </c>
      <c r="B1416" s="265" t="s">
        <v>1861</v>
      </c>
      <c r="C1416" s="265"/>
      <c r="D1416" s="265"/>
      <c r="E1416" s="265"/>
      <c r="F1416" s="265"/>
      <c r="G1416" s="265"/>
      <c r="H1416" s="265"/>
      <c r="I1416" s="265"/>
      <c r="J1416" s="265"/>
      <c r="K1416" s="265"/>
    </row>
    <row r="1417" spans="1:12" ht="18.75" customHeight="1">
      <c r="A1417" s="266" t="s">
        <v>28</v>
      </c>
      <c r="B1417" s="266" t="s">
        <v>690</v>
      </c>
      <c r="C1417" s="266" t="s">
        <v>650</v>
      </c>
      <c r="D1417" s="266"/>
      <c r="E1417" s="266"/>
      <c r="F1417" s="266"/>
      <c r="G1417" s="266" t="s">
        <v>651</v>
      </c>
      <c r="H1417" s="266"/>
      <c r="I1417" s="266" t="s">
        <v>691</v>
      </c>
      <c r="J1417" s="266" t="s">
        <v>692</v>
      </c>
      <c r="K1417" s="266" t="s">
        <v>693</v>
      </c>
    </row>
    <row r="1418" spans="1:12" ht="18.75" customHeight="1">
      <c r="A1418" s="266" t="s">
        <v>31</v>
      </c>
      <c r="B1418" s="267" t="s">
        <v>694</v>
      </c>
      <c r="C1418" s="267"/>
      <c r="D1418" s="267"/>
      <c r="E1418" s="267"/>
      <c r="F1418" s="267"/>
      <c r="G1418" s="266" t="s">
        <v>695</v>
      </c>
      <c r="H1418" s="266"/>
      <c r="I1418" s="268"/>
      <c r="J1418" s="268"/>
      <c r="K1418" s="380">
        <f>K1419+K1424+K1433+K1451+K1452</f>
        <v>0</v>
      </c>
    </row>
    <row r="1419" spans="1:12" ht="18.75" customHeight="1">
      <c r="A1419" s="266" t="s">
        <v>76</v>
      </c>
      <c r="B1419" s="267" t="s">
        <v>353</v>
      </c>
      <c r="C1419" s="267"/>
      <c r="D1419" s="267"/>
      <c r="E1419" s="267"/>
      <c r="F1419" s="267"/>
      <c r="G1419" s="266" t="s">
        <v>695</v>
      </c>
      <c r="H1419" s="266"/>
      <c r="I1419" s="268"/>
      <c r="J1419" s="268"/>
      <c r="K1419" s="380">
        <f>SUM(K1420:K1423)</f>
        <v>0</v>
      </c>
    </row>
    <row r="1420" spans="1:12" ht="18.75" customHeight="1">
      <c r="A1420" s="266"/>
      <c r="B1420" s="267" t="s">
        <v>698</v>
      </c>
      <c r="C1420" s="267"/>
      <c r="D1420" s="267"/>
      <c r="E1420" s="267"/>
      <c r="F1420" s="267"/>
      <c r="G1420" s="266" t="s">
        <v>699</v>
      </c>
      <c r="H1420" s="266"/>
      <c r="I1420" s="268">
        <f>ROUND(479*0.2,3)</f>
        <v>0</v>
      </c>
      <c r="J1420" s="380">
        <v>3.46</v>
      </c>
      <c r="K1420" s="380">
        <f>ROUND(I1420*J1420,2)</f>
        <v>0</v>
      </c>
    </row>
    <row r="1421" spans="1:12" ht="18.75" customHeight="1">
      <c r="A1421" s="266"/>
      <c r="B1421" s="267" t="s">
        <v>698</v>
      </c>
      <c r="C1421" s="267"/>
      <c r="D1421" s="267"/>
      <c r="E1421" s="267"/>
      <c r="F1421" s="267"/>
      <c r="G1421" s="266" t="s">
        <v>699</v>
      </c>
      <c r="H1421" s="266"/>
      <c r="I1421" s="268">
        <f>ROUND(449*0.8,3)</f>
        <v>0</v>
      </c>
      <c r="J1421" s="380">
        <v>3.46</v>
      </c>
      <c r="K1421" s="380">
        <f>ROUND(I1421*J1421,2)</f>
        <v>0</v>
      </c>
    </row>
    <row r="1422" spans="1:12" ht="18.75" customHeight="1">
      <c r="A1422" s="266"/>
      <c r="B1422" s="267" t="s">
        <v>698</v>
      </c>
      <c r="C1422" s="267"/>
      <c r="D1422" s="267"/>
      <c r="E1422" s="267"/>
      <c r="F1422" s="267"/>
      <c r="G1422" s="266" t="s">
        <v>699</v>
      </c>
      <c r="H1422" s="266"/>
      <c r="I1422" s="268">
        <f>ROUND(242*1.03,3)</f>
        <v>0</v>
      </c>
      <c r="J1422" s="380">
        <v>3.46</v>
      </c>
      <c r="K1422" s="380">
        <f>ROUND(I1422*J1422,2)</f>
        <v>0</v>
      </c>
    </row>
    <row r="1423" spans="1:12" ht="18.75" customHeight="1">
      <c r="A1423" s="266"/>
      <c r="B1423" s="267" t="s">
        <v>698</v>
      </c>
      <c r="C1423" s="267"/>
      <c r="D1423" s="267"/>
      <c r="E1423" s="267"/>
      <c r="F1423" s="267"/>
      <c r="G1423" s="266" t="s">
        <v>699</v>
      </c>
      <c r="H1423" s="266"/>
      <c r="I1423" s="268">
        <f>ROUND(97*1.03,3)</f>
        <v>0</v>
      </c>
      <c r="J1423" s="380">
        <v>3.46</v>
      </c>
      <c r="K1423" s="380">
        <f>ROUND(I1423*J1423,2)</f>
        <v>0</v>
      </c>
    </row>
    <row r="1424" spans="1:12" ht="18.75" customHeight="1">
      <c r="A1424" s="266" t="s">
        <v>152</v>
      </c>
      <c r="B1424" s="267" t="s">
        <v>354</v>
      </c>
      <c r="C1424" s="267"/>
      <c r="D1424" s="267"/>
      <c r="E1424" s="267"/>
      <c r="F1424" s="267"/>
      <c r="G1424" s="266" t="s">
        <v>695</v>
      </c>
      <c r="H1424" s="266"/>
      <c r="I1424" s="268"/>
      <c r="J1424" s="268"/>
      <c r="K1424" s="380">
        <f>SUM(K1425:K1432)</f>
        <v>0</v>
      </c>
    </row>
    <row r="1425" spans="1:12" ht="18.75" customHeight="1">
      <c r="A1425" s="266"/>
      <c r="B1425" s="267" t="s">
        <v>1027</v>
      </c>
      <c r="C1425" s="267"/>
      <c r="D1425" s="267"/>
      <c r="E1425" s="267"/>
      <c r="F1425" s="267"/>
      <c r="G1425" s="266" t="s">
        <v>81</v>
      </c>
      <c r="H1425" s="266"/>
      <c r="I1425" s="268">
        <f>ROUND(90*0.2,3)</f>
        <v>0</v>
      </c>
      <c r="J1425" s="380">
        <v>0.5</v>
      </c>
      <c r="K1425" s="380">
        <f>ROUND(I1425*J1425,2)</f>
        <v>0</v>
      </c>
    </row>
    <row r="1426" spans="1:12" ht="40.5" customHeight="1">
      <c r="A1426" s="266"/>
      <c r="B1426" s="267" t="s">
        <v>1121</v>
      </c>
      <c r="C1426" s="267" t="s">
        <v>1122</v>
      </c>
      <c r="D1426" s="267"/>
      <c r="E1426" s="267"/>
      <c r="F1426" s="267"/>
      <c r="G1426" s="266" t="s">
        <v>81</v>
      </c>
      <c r="H1426" s="266"/>
      <c r="I1426" s="268">
        <f>ROUND(103*0.2,3)</f>
        <v>0</v>
      </c>
      <c r="J1426" s="380">
        <v>100.23</v>
      </c>
      <c r="K1426" s="380">
        <f>ROUND(I1426*J1426,2)</f>
        <v>0</v>
      </c>
    </row>
    <row r="1427" spans="1:12" ht="18.75" customHeight="1">
      <c r="A1427" s="266"/>
      <c r="B1427" s="267" t="s">
        <v>828</v>
      </c>
      <c r="C1427" s="267"/>
      <c r="D1427" s="267"/>
      <c r="E1427" s="267"/>
      <c r="F1427" s="267"/>
      <c r="G1427" s="266" t="s">
        <v>334</v>
      </c>
      <c r="H1427" s="266"/>
      <c r="I1427" s="268">
        <f>ROUND(2,3)</f>
        <v>0</v>
      </c>
      <c r="J1427" s="380">
        <f>K1425+K1426</f>
        <v>0</v>
      </c>
      <c r="K1427" s="380">
        <f>ROUND(I1427*J1427/100,2)</f>
        <v>0</v>
      </c>
    </row>
    <row r="1428" spans="1:12" ht="18.75" customHeight="1">
      <c r="A1428" s="266"/>
      <c r="B1428" s="267" t="s">
        <v>1027</v>
      </c>
      <c r="C1428" s="267"/>
      <c r="D1428" s="267"/>
      <c r="E1428" s="267"/>
      <c r="F1428" s="267"/>
      <c r="G1428" s="266" t="s">
        <v>81</v>
      </c>
      <c r="H1428" s="266"/>
      <c r="I1428" s="268">
        <f>ROUND(90*0.8,3)</f>
        <v>0</v>
      </c>
      <c r="J1428" s="380">
        <v>0.5</v>
      </c>
      <c r="K1428" s="380">
        <f>ROUND(I1428*J1428,2)</f>
        <v>0</v>
      </c>
    </row>
    <row r="1429" spans="1:12" ht="40.5" customHeight="1">
      <c r="A1429" s="266"/>
      <c r="B1429" s="267" t="s">
        <v>1121</v>
      </c>
      <c r="C1429" s="267" t="s">
        <v>1122</v>
      </c>
      <c r="D1429" s="267"/>
      <c r="E1429" s="267"/>
      <c r="F1429" s="267"/>
      <c r="G1429" s="266" t="s">
        <v>81</v>
      </c>
      <c r="H1429" s="266"/>
      <c r="I1429" s="268">
        <f>ROUND(103*0.8,3)</f>
        <v>0</v>
      </c>
      <c r="J1429" s="380">
        <v>100.23</v>
      </c>
      <c r="K1429" s="380">
        <f>ROUND(I1429*J1429,2)</f>
        <v>0</v>
      </c>
    </row>
    <row r="1430" spans="1:12" ht="18.75" customHeight="1">
      <c r="A1430" s="266"/>
      <c r="B1430" s="267" t="s">
        <v>828</v>
      </c>
      <c r="C1430" s="267"/>
      <c r="D1430" s="267"/>
      <c r="E1430" s="267"/>
      <c r="F1430" s="267"/>
      <c r="G1430" s="266" t="s">
        <v>334</v>
      </c>
      <c r="H1430" s="266"/>
      <c r="I1430" s="268">
        <f>ROUND(2,3)</f>
        <v>0</v>
      </c>
      <c r="J1430" s="380">
        <f>K1428+K1429</f>
        <v>0</v>
      </c>
      <c r="K1430" s="380">
        <f>ROUND(I1430*J1430/100,2)</f>
        <v>0</v>
      </c>
    </row>
    <row r="1431" spans="1:12" ht="18.75" customHeight="1">
      <c r="A1431" s="266"/>
      <c r="B1431" s="267" t="s">
        <v>702</v>
      </c>
      <c r="C1431" s="267"/>
      <c r="D1431" s="267"/>
      <c r="E1431" s="267"/>
      <c r="F1431" s="267"/>
      <c r="G1431" s="266" t="s">
        <v>334</v>
      </c>
      <c r="H1431" s="266"/>
      <c r="I1431" s="268">
        <f>ROUND(2,3)</f>
        <v>0</v>
      </c>
      <c r="J1431" s="380">
        <f>K1422+K1442+K1443</f>
        <v>0</v>
      </c>
      <c r="K1431" s="380">
        <f>ROUND(I1431*J1431/100,2)</f>
        <v>0</v>
      </c>
    </row>
    <row r="1432" spans="1:12" ht="18.75" customHeight="1">
      <c r="A1432" s="266"/>
      <c r="B1432" s="267" t="s">
        <v>702</v>
      </c>
      <c r="C1432" s="267"/>
      <c r="D1432" s="267"/>
      <c r="E1432" s="267"/>
      <c r="F1432" s="267"/>
      <c r="G1432" s="266" t="s">
        <v>334</v>
      </c>
      <c r="H1432" s="266"/>
      <c r="I1432" s="268">
        <f>ROUND(6,3)</f>
        <v>0</v>
      </c>
      <c r="J1432" s="380">
        <f>K1423+K1444</f>
        <v>0</v>
      </c>
      <c r="K1432" s="380">
        <f>ROUND(I1432*J1432/100,2)</f>
        <v>0</v>
      </c>
    </row>
    <row r="1433" spans="1:12" ht="18.75" customHeight="1">
      <c r="A1433" s="266" t="s">
        <v>704</v>
      </c>
      <c r="B1433" s="267" t="s">
        <v>705</v>
      </c>
      <c r="C1433" s="267"/>
      <c r="D1433" s="267"/>
      <c r="E1433" s="267"/>
      <c r="F1433" s="267"/>
      <c r="G1433" s="266" t="s">
        <v>695</v>
      </c>
      <c r="H1433" s="266"/>
      <c r="I1433" s="268"/>
      <c r="J1433" s="268"/>
      <c r="K1433" s="380">
        <f>SUM(K1434:K1444)</f>
        <v>0</v>
      </c>
    </row>
    <row r="1434" spans="1:12" ht="18.75" customHeight="1">
      <c r="A1434" s="266"/>
      <c r="B1434" s="267" t="s">
        <v>1134</v>
      </c>
      <c r="C1434" s="267" t="s">
        <v>1135</v>
      </c>
      <c r="D1434" s="267"/>
      <c r="E1434" s="267"/>
      <c r="F1434" s="267"/>
      <c r="G1434" s="266" t="s">
        <v>709</v>
      </c>
      <c r="H1434" s="266"/>
      <c r="I1434" s="268">
        <f>ROUND(9.12*0.2,3)</f>
        <v>0</v>
      </c>
      <c r="J1434" s="380">
        <v>78.73</v>
      </c>
      <c r="K1434" s="380">
        <f>ROUND(I1434*J1434,2)</f>
        <v>0</v>
      </c>
    </row>
    <row r="1435" spans="1:12" ht="18.75" customHeight="1">
      <c r="A1435" s="266"/>
      <c r="B1435" s="267" t="s">
        <v>1041</v>
      </c>
      <c r="C1435" s="267" t="s">
        <v>1042</v>
      </c>
      <c r="D1435" s="267"/>
      <c r="E1435" s="267"/>
      <c r="F1435" s="267"/>
      <c r="G1435" s="266" t="s">
        <v>709</v>
      </c>
      <c r="H1435" s="266"/>
      <c r="I1435" s="268">
        <f>ROUND(36.45*0.2,3)</f>
        <v>0</v>
      </c>
      <c r="J1435" s="380">
        <v>2.07</v>
      </c>
      <c r="K1435" s="380">
        <f>ROUND(I1435*J1435,2)</f>
        <v>0</v>
      </c>
    </row>
    <row r="1436" spans="1:12" ht="18.75" customHeight="1">
      <c r="A1436" s="266"/>
      <c r="B1436" s="267" t="s">
        <v>1046</v>
      </c>
      <c r="C1436" s="267" t="s">
        <v>1047</v>
      </c>
      <c r="D1436" s="267"/>
      <c r="E1436" s="267"/>
      <c r="F1436" s="267"/>
      <c r="G1436" s="266" t="s">
        <v>709</v>
      </c>
      <c r="H1436" s="266"/>
      <c r="I1436" s="268">
        <f>ROUND(11.2*0.2,3)</f>
        <v>0</v>
      </c>
      <c r="J1436" s="380">
        <v>33.03</v>
      </c>
      <c r="K1436" s="380">
        <f>ROUND(I1436*J1436,2)</f>
        <v>0</v>
      </c>
    </row>
    <row r="1437" spans="1:12" ht="18.75" customHeight="1">
      <c r="A1437" s="266"/>
      <c r="B1437" s="267" t="s">
        <v>883</v>
      </c>
      <c r="C1437" s="267"/>
      <c r="D1437" s="267"/>
      <c r="E1437" s="267"/>
      <c r="F1437" s="267"/>
      <c r="G1437" s="266" t="s">
        <v>334</v>
      </c>
      <c r="H1437" s="266"/>
      <c r="I1437" s="268">
        <f>ROUND(13,3)</f>
        <v>0</v>
      </c>
      <c r="J1437" s="380">
        <f>K1434+K1435+K1436</f>
        <v>0</v>
      </c>
      <c r="K1437" s="380">
        <f>ROUND(I1437*J1437/100,2)</f>
        <v>0</v>
      </c>
    </row>
    <row r="1438" spans="1:12" ht="18.75" customHeight="1">
      <c r="A1438" s="266"/>
      <c r="B1438" s="267" t="s">
        <v>1134</v>
      </c>
      <c r="C1438" s="267" t="s">
        <v>1135</v>
      </c>
      <c r="D1438" s="267"/>
      <c r="E1438" s="267"/>
      <c r="F1438" s="267"/>
      <c r="G1438" s="266" t="s">
        <v>709</v>
      </c>
      <c r="H1438" s="266"/>
      <c r="I1438" s="268">
        <f>ROUND(6.83*0.8,3)</f>
        <v>0</v>
      </c>
      <c r="J1438" s="380">
        <v>78.73</v>
      </c>
      <c r="K1438" s="380">
        <f>ROUND(I1438*J1438,2)</f>
        <v>0</v>
      </c>
    </row>
    <row r="1439" spans="1:12" ht="18.75" customHeight="1">
      <c r="A1439" s="266"/>
      <c r="B1439" s="267" t="s">
        <v>1041</v>
      </c>
      <c r="C1439" s="267" t="s">
        <v>1042</v>
      </c>
      <c r="D1439" s="267"/>
      <c r="E1439" s="267"/>
      <c r="F1439" s="267"/>
      <c r="G1439" s="266" t="s">
        <v>709</v>
      </c>
      <c r="H1439" s="266"/>
      <c r="I1439" s="268">
        <f>ROUND(32.4*0.8,3)</f>
        <v>0</v>
      </c>
      <c r="J1439" s="380">
        <v>2.07</v>
      </c>
      <c r="K1439" s="380">
        <f>ROUND(I1439*J1439,2)</f>
        <v>0</v>
      </c>
    </row>
    <row r="1440" spans="1:12" ht="18.75" customHeight="1">
      <c r="A1440" s="266"/>
      <c r="B1440" s="267" t="s">
        <v>1046</v>
      </c>
      <c r="C1440" s="267" t="s">
        <v>1047</v>
      </c>
      <c r="D1440" s="267"/>
      <c r="E1440" s="267"/>
      <c r="F1440" s="267"/>
      <c r="G1440" s="266" t="s">
        <v>709</v>
      </c>
      <c r="H1440" s="266"/>
      <c r="I1440" s="268">
        <f>ROUND(11.2*0.8,3)</f>
        <v>0</v>
      </c>
      <c r="J1440" s="380">
        <v>33.03</v>
      </c>
      <c r="K1440" s="380">
        <f>ROUND(I1440*J1440,2)</f>
        <v>0</v>
      </c>
    </row>
    <row r="1441" spans="1:12" ht="18.75" customHeight="1">
      <c r="A1441" s="266"/>
      <c r="B1441" s="267" t="s">
        <v>883</v>
      </c>
      <c r="C1441" s="267"/>
      <c r="D1441" s="267"/>
      <c r="E1441" s="267"/>
      <c r="F1441" s="267"/>
      <c r="G1441" s="266" t="s">
        <v>334</v>
      </c>
      <c r="H1441" s="266"/>
      <c r="I1441" s="268">
        <f>ROUND(13,3)</f>
        <v>0</v>
      </c>
      <c r="J1441" s="380">
        <f>K1438+K1439+K1440</f>
        <v>0</v>
      </c>
      <c r="K1441" s="380">
        <f>ROUND(I1441*J1441/100,2)</f>
        <v>0</v>
      </c>
    </row>
    <row r="1442" spans="1:12" ht="18.75" customHeight="1">
      <c r="A1442" s="266"/>
      <c r="B1442" s="267" t="s">
        <v>1053</v>
      </c>
      <c r="C1442" s="267" t="s">
        <v>1054</v>
      </c>
      <c r="D1442" s="267"/>
      <c r="E1442" s="267"/>
      <c r="F1442" s="267"/>
      <c r="G1442" s="266" t="s">
        <v>709</v>
      </c>
      <c r="H1442" s="266"/>
      <c r="I1442" s="268">
        <f>ROUND(18*1.03,3)</f>
        <v>0</v>
      </c>
      <c r="J1442" s="380">
        <v>20.6</v>
      </c>
      <c r="K1442" s="380">
        <f>ROUND(I1442*J1442,2)</f>
        <v>0</v>
      </c>
    </row>
    <row r="1443" spans="1:12" ht="18.75" customHeight="1">
      <c r="A1443" s="266"/>
      <c r="B1443" s="267" t="s">
        <v>998</v>
      </c>
      <c r="C1443" s="267"/>
      <c r="D1443" s="267"/>
      <c r="E1443" s="267"/>
      <c r="F1443" s="267"/>
      <c r="G1443" s="266" t="s">
        <v>709</v>
      </c>
      <c r="H1443" s="266"/>
      <c r="I1443" s="268">
        <f>ROUND(83*1.03,3)</f>
        <v>0</v>
      </c>
      <c r="J1443" s="380">
        <v>0.82</v>
      </c>
      <c r="K1443" s="380">
        <f>ROUND(I1443*J1443,2)</f>
        <v>0</v>
      </c>
    </row>
    <row r="1444" spans="1:12" ht="18.75" customHeight="1">
      <c r="A1444" s="266"/>
      <c r="B1444" s="267" t="s">
        <v>998</v>
      </c>
      <c r="C1444" s="267"/>
      <c r="D1444" s="267"/>
      <c r="E1444" s="267"/>
      <c r="F1444" s="267"/>
      <c r="G1444" s="266" t="s">
        <v>709</v>
      </c>
      <c r="H1444" s="266"/>
      <c r="I1444" s="268">
        <f>ROUND(117.5*1.03,3)</f>
        <v>0</v>
      </c>
      <c r="J1444" s="380">
        <v>0.82</v>
      </c>
      <c r="K1444" s="380">
        <f>ROUND(I1444*J1444,2)</f>
        <v>0</v>
      </c>
    </row>
    <row r="1445" spans="1:11" ht="7.5" customHeight="1">
      <c r="A1445" s="259"/>
      <c r="B1445" s="259"/>
      <c r="C1445" s="259"/>
      <c r="D1445" s="259"/>
      <c r="E1445" s="259"/>
      <c r="F1445" s="259"/>
      <c r="G1445" s="259"/>
      <c r="H1445" s="259"/>
      <c r="I1445" s="259"/>
      <c r="J1445" s="259"/>
      <c r="K1445" s="259"/>
    </row>
    <row r="1446" spans="1:11" ht="26.25" customHeight="1">
      <c r="A1446" s="260" t="s">
        <v>684</v>
      </c>
      <c r="B1446" s="260"/>
      <c r="C1446" s="260"/>
      <c r="D1446" s="260"/>
      <c r="E1446" s="260"/>
      <c r="F1446" s="260"/>
      <c r="G1446" s="260"/>
      <c r="H1446" s="260"/>
      <c r="I1446" s="260"/>
      <c r="J1446" s="260"/>
      <c r="K1446" s="260"/>
    </row>
    <row r="1447" spans="1:11" ht="18.75" customHeight="1">
      <c r="A1447" s="261" t="s">
        <v>1859</v>
      </c>
      <c r="B1447" s="261"/>
      <c r="C1447" s="261"/>
      <c r="D1447" s="261"/>
      <c r="E1447" s="261"/>
      <c r="F1447" s="261"/>
      <c r="G1447" s="261"/>
      <c r="H1447" s="261"/>
      <c r="I1447" s="261"/>
      <c r="J1447" s="261"/>
      <c r="K1447" s="261"/>
    </row>
    <row r="1448" spans="1:11" ht="18.75" customHeight="1">
      <c r="A1448" s="262" t="s">
        <v>686</v>
      </c>
      <c r="B1448" s="259" t="s">
        <v>1860</v>
      </c>
      <c r="C1448" s="259"/>
      <c r="D1448" s="259"/>
      <c r="E1448" s="259"/>
      <c r="F1448" s="259"/>
      <c r="G1448" s="259"/>
      <c r="H1448" s="263" t="s">
        <v>687</v>
      </c>
      <c r="I1448" s="263"/>
      <c r="J1448" s="263"/>
      <c r="K1448" s="263"/>
    </row>
    <row r="1449" spans="1:11" ht="53.25" customHeight="1">
      <c r="A1449" s="264" t="s">
        <v>688</v>
      </c>
      <c r="B1449" s="265" t="s">
        <v>1861</v>
      </c>
      <c r="C1449" s="265"/>
      <c r="D1449" s="265"/>
      <c r="E1449" s="265"/>
      <c r="F1449" s="265"/>
      <c r="G1449" s="265"/>
      <c r="H1449" s="265"/>
      <c r="I1449" s="265"/>
      <c r="J1449" s="265"/>
      <c r="K1449" s="265"/>
    </row>
    <row r="1450" spans="1:12" ht="18.75" customHeight="1">
      <c r="A1450" s="266" t="s">
        <v>28</v>
      </c>
      <c r="B1450" s="266" t="s">
        <v>690</v>
      </c>
      <c r="C1450" s="266" t="s">
        <v>650</v>
      </c>
      <c r="D1450" s="266"/>
      <c r="E1450" s="266"/>
      <c r="F1450" s="266"/>
      <c r="G1450" s="266" t="s">
        <v>651</v>
      </c>
      <c r="H1450" s="266"/>
      <c r="I1450" s="266" t="s">
        <v>691</v>
      </c>
      <c r="J1450" s="266" t="s">
        <v>692</v>
      </c>
      <c r="K1450" s="266" t="s">
        <v>693</v>
      </c>
    </row>
    <row r="1451" spans="1:12" ht="18.75" customHeight="1">
      <c r="A1451" s="266" t="s">
        <v>721</v>
      </c>
      <c r="B1451" s="267" t="s">
        <v>722</v>
      </c>
      <c r="C1451" s="267"/>
      <c r="D1451" s="267"/>
      <c r="E1451" s="267"/>
      <c r="F1451" s="267"/>
      <c r="G1451" s="266" t="s">
        <v>695</v>
      </c>
      <c r="H1451" s="266"/>
      <c r="I1451" s="268">
        <f>3.5&amp;"%"</f>
        <v>0</v>
      </c>
      <c r="J1451" s="380">
        <f>K1419+K1424+K1433</f>
        <v>0</v>
      </c>
      <c r="K1451" s="380">
        <f>ROUND(I1451*J1451,2)</f>
        <v>0</v>
      </c>
    </row>
    <row r="1452" spans="1:12" ht="18.75" customHeight="1">
      <c r="A1452" s="266" t="s">
        <v>348</v>
      </c>
      <c r="B1452" s="267" t="s">
        <v>726</v>
      </c>
      <c r="C1452" s="267"/>
      <c r="D1452" s="267"/>
      <c r="E1452" s="267"/>
      <c r="F1452" s="267"/>
      <c r="G1452" s="266" t="s">
        <v>695</v>
      </c>
      <c r="H1452" s="266"/>
      <c r="I1452" s="268">
        <f>6&amp;"%"</f>
        <v>0</v>
      </c>
      <c r="J1452" s="380">
        <f>K1419+K1424+K1433</f>
        <v>0</v>
      </c>
      <c r="K1452" s="380">
        <f>ROUND(I1452*J1452,2)</f>
        <v>0</v>
      </c>
    </row>
    <row r="1453" spans="1:12" ht="18.75" customHeight="1">
      <c r="A1453" s="266" t="s">
        <v>34</v>
      </c>
      <c r="B1453" s="267" t="s">
        <v>729</v>
      </c>
      <c r="C1453" s="267"/>
      <c r="D1453" s="267"/>
      <c r="E1453" s="267"/>
      <c r="F1453" s="267"/>
      <c r="G1453" s="266" t="s">
        <v>695</v>
      </c>
      <c r="H1453" s="266"/>
      <c r="I1453" s="268">
        <f>3.7&amp;"%"</f>
        <v>0</v>
      </c>
      <c r="J1453" s="380">
        <f>K1418</f>
        <v>0</v>
      </c>
      <c r="K1453" s="380">
        <f>ROUND(I1453*J1453,2)</f>
        <v>0</v>
      </c>
    </row>
    <row r="1454" spans="1:12" ht="18.75" customHeight="1">
      <c r="A1454" s="266" t="s">
        <v>37</v>
      </c>
      <c r="B1454" s="267" t="s">
        <v>732</v>
      </c>
      <c r="C1454" s="267"/>
      <c r="D1454" s="267"/>
      <c r="E1454" s="267"/>
      <c r="F1454" s="267"/>
      <c r="G1454" s="266" t="s">
        <v>695</v>
      </c>
      <c r="H1454" s="266"/>
      <c r="I1454" s="268">
        <f>32.8&amp;"%"</f>
        <v>0</v>
      </c>
      <c r="J1454" s="380">
        <f>K1419+ROUND(I1434*2.4*3.46,2)+ROUND(I1438*2.4*3.46,2)+ROUND(I1442*1.3*3.46,2)</f>
        <v>0</v>
      </c>
      <c r="K1454" s="380">
        <f>ROUND(I1454*J1454,2)</f>
        <v>0</v>
      </c>
    </row>
    <row r="1455" spans="1:12" ht="18.75" customHeight="1">
      <c r="A1455" s="266" t="s">
        <v>40</v>
      </c>
      <c r="B1455" s="267" t="s">
        <v>736</v>
      </c>
      <c r="C1455" s="267"/>
      <c r="D1455" s="267"/>
      <c r="E1455" s="267"/>
      <c r="F1455" s="267"/>
      <c r="G1455" s="266" t="s">
        <v>695</v>
      </c>
      <c r="H1455" s="266"/>
      <c r="I1455" s="268">
        <f>7&amp;"%"</f>
        <v>0</v>
      </c>
      <c r="J1455" s="380">
        <f>K1418+K1453+K1454</f>
        <v>0</v>
      </c>
      <c r="K1455" s="380">
        <f>ROUND(I1455*J1455,2)</f>
        <v>0</v>
      </c>
    </row>
    <row r="1456" spans="1:12" ht="18.75" customHeight="1">
      <c r="A1456" s="266" t="s">
        <v>43</v>
      </c>
      <c r="B1456" s="267" t="s">
        <v>361</v>
      </c>
      <c r="C1456" s="267"/>
      <c r="D1456" s="267"/>
      <c r="E1456" s="267"/>
      <c r="F1456" s="267"/>
      <c r="G1456" s="266" t="s">
        <v>695</v>
      </c>
      <c r="H1456" s="266"/>
      <c r="I1456" s="268"/>
      <c r="J1456" s="268"/>
      <c r="K1456" s="380">
        <f>SUM(K1457:K1461)</f>
        <v>0</v>
      </c>
    </row>
    <row r="1457" spans="1:12" ht="18.75" customHeight="1">
      <c r="A1457" s="266"/>
      <c r="B1457" s="267" t="s">
        <v>698</v>
      </c>
      <c r="C1457" s="267"/>
      <c r="D1457" s="267"/>
      <c r="E1457" s="267"/>
      <c r="F1457" s="267"/>
      <c r="G1457" s="266" t="s">
        <v>699</v>
      </c>
      <c r="H1457" s="266"/>
      <c r="I1457" s="268">
        <f>ROUND(I1420+I1421+I1422+I1423,3)</f>
        <v>0</v>
      </c>
      <c r="J1457" s="380">
        <v>4</v>
      </c>
      <c r="K1457" s="380">
        <f>ROUND(I1457*J1457,2)</f>
        <v>0</v>
      </c>
    </row>
    <row r="1458" spans="1:12" ht="18.75" customHeight="1">
      <c r="A1458" s="266"/>
      <c r="B1458" s="267" t="s">
        <v>741</v>
      </c>
      <c r="C1458" s="267"/>
      <c r="D1458" s="267"/>
      <c r="E1458" s="267"/>
      <c r="F1458" s="267"/>
      <c r="G1458" s="266" t="s">
        <v>699</v>
      </c>
      <c r="H1458" s="266"/>
      <c r="I1458" s="268">
        <f>ROUND(I1434*2.4+I1438*2.4+I1442*1.3,3)</f>
        <v>0</v>
      </c>
      <c r="J1458" s="380">
        <v>4</v>
      </c>
      <c r="K1458" s="380">
        <f>ROUND(I1458*J1458,2)</f>
        <v>0</v>
      </c>
    </row>
    <row r="1459" spans="1:12" ht="18.75" customHeight="1">
      <c r="A1459" s="266"/>
      <c r="B1459" s="267" t="s">
        <v>658</v>
      </c>
      <c r="C1459" s="267" t="s">
        <v>659</v>
      </c>
      <c r="D1459" s="267"/>
      <c r="E1459" s="267"/>
      <c r="F1459" s="267"/>
      <c r="G1459" s="266" t="s">
        <v>149</v>
      </c>
      <c r="H1459" s="266"/>
      <c r="I1459" s="268">
        <f>ROUND(I1426*228.932*0.001+I1429*228.932*0.001,3)</f>
        <v>0</v>
      </c>
      <c r="J1459" s="380">
        <v>206.26</v>
      </c>
      <c r="K1459" s="380">
        <f>ROUND(I1459*J1459,2)</f>
        <v>0</v>
      </c>
    </row>
    <row r="1460" spans="1:12" ht="18.75" customHeight="1">
      <c r="A1460" s="266"/>
      <c r="B1460" s="267" t="s">
        <v>661</v>
      </c>
      <c r="C1460" s="267"/>
      <c r="D1460" s="267"/>
      <c r="E1460" s="267"/>
      <c r="F1460" s="267"/>
      <c r="G1460" s="266" t="s">
        <v>81</v>
      </c>
      <c r="H1460" s="266"/>
      <c r="I1460" s="268">
        <f>ROUND(I1426*0.8586+I1429*0.8586,3)</f>
        <v>0</v>
      </c>
      <c r="J1460" s="380">
        <v>102.44</v>
      </c>
      <c r="K1460" s="380">
        <f>ROUND(I1460*J1460,2)</f>
        <v>0</v>
      </c>
    </row>
    <row r="1461" spans="1:12" ht="18.75" customHeight="1">
      <c r="A1461" s="266"/>
      <c r="B1461" s="267" t="s">
        <v>682</v>
      </c>
      <c r="C1461" s="267"/>
      <c r="D1461" s="267"/>
      <c r="E1461" s="267"/>
      <c r="F1461" s="267"/>
      <c r="G1461" s="266" t="s">
        <v>81</v>
      </c>
      <c r="H1461" s="266"/>
      <c r="I1461" s="268">
        <f>ROUND(I1426*0.572+I1429*0.572,3)</f>
        <v>0</v>
      </c>
      <c r="J1461" s="380">
        <v>142.25</v>
      </c>
      <c r="K1461" s="380">
        <f>ROUND(I1461*J1461,2)</f>
        <v>0</v>
      </c>
    </row>
    <row r="1462" spans="1:12" ht="18.75" customHeight="1">
      <c r="A1462" s="266" t="s">
        <v>46</v>
      </c>
      <c r="B1462" s="267" t="s">
        <v>362</v>
      </c>
      <c r="C1462" s="267"/>
      <c r="D1462" s="267"/>
      <c r="E1462" s="267"/>
      <c r="F1462" s="267"/>
      <c r="G1462" s="266" t="s">
        <v>695</v>
      </c>
      <c r="H1462" s="266"/>
      <c r="I1462" s="268">
        <f>0&amp;"%"</f>
        <v>0</v>
      </c>
      <c r="J1462" s="380">
        <f>K1418+K1453+K1454+K1455+K1456</f>
        <v>0</v>
      </c>
      <c r="K1462" s="380">
        <f>ROUND(I1462*J1462,2)</f>
        <v>0</v>
      </c>
    </row>
    <row r="1463" spans="1:12" ht="18.75" customHeight="1">
      <c r="A1463" s="266" t="s">
        <v>49</v>
      </c>
      <c r="B1463" s="267" t="s">
        <v>363</v>
      </c>
      <c r="C1463" s="267"/>
      <c r="D1463" s="267"/>
      <c r="E1463" s="267"/>
      <c r="F1463" s="267"/>
      <c r="G1463" s="266" t="s">
        <v>695</v>
      </c>
      <c r="H1463" s="266"/>
      <c r="I1463" s="268">
        <f>9&amp;"%"</f>
        <v>0</v>
      </c>
      <c r="J1463" s="380">
        <f>K1418+K1453+K1454+K1455+K1456+K1462</f>
        <v>0</v>
      </c>
      <c r="K1463" s="380">
        <f>ROUND(I1463*J1463,2)</f>
        <v>0</v>
      </c>
    </row>
    <row r="1464" spans="1:12" ht="18.75" customHeight="1">
      <c r="A1464" s="266"/>
      <c r="B1464" s="267" t="s">
        <v>64</v>
      </c>
      <c r="C1464" s="267"/>
      <c r="D1464" s="267"/>
      <c r="E1464" s="267"/>
      <c r="F1464" s="267"/>
      <c r="G1464" s="266" t="s">
        <v>695</v>
      </c>
      <c r="H1464" s="266"/>
      <c r="I1464" s="268"/>
      <c r="J1464" s="268"/>
      <c r="K1464" s="380">
        <f>K1418+K1453+K1454+K1455+K1456+K1462+K1463</f>
        <v>0</v>
      </c>
    </row>
    <row r="1465" spans="1:12" ht="18.75" customHeight="1">
      <c r="A1465" s="266"/>
      <c r="B1465" s="267" t="s">
        <v>752</v>
      </c>
      <c r="C1465" s="267"/>
      <c r="D1465" s="267"/>
      <c r="E1465" s="267"/>
      <c r="F1465" s="267"/>
      <c r="G1465" s="266" t="s">
        <v>695</v>
      </c>
      <c r="H1465" s="266"/>
      <c r="I1465" s="268"/>
      <c r="J1465" s="268"/>
      <c r="K1465" s="380">
        <f>ROUND(K1464/100,2)</f>
        <v>0</v>
      </c>
    </row>
    <row r="1466" spans="1:11" ht="18.75" customHeight="1">
      <c r="A1466" s="266"/>
      <c r="B1466" s="267"/>
      <c r="C1466" s="267"/>
      <c r="D1466" s="267"/>
      <c r="E1466" s="267"/>
      <c r="F1466" s="267"/>
      <c r="G1466" s="266"/>
      <c r="H1466" s="266"/>
      <c r="I1466" s="268"/>
      <c r="J1466" s="268"/>
      <c r="K1466" s="268"/>
    </row>
    <row r="1467" spans="1:11" ht="18.75" customHeight="1">
      <c r="A1467" s="266"/>
      <c r="B1467" s="267"/>
      <c r="C1467" s="267"/>
      <c r="D1467" s="267"/>
      <c r="E1467" s="267"/>
      <c r="F1467" s="267"/>
      <c r="G1467" s="266"/>
      <c r="H1467" s="266"/>
      <c r="I1467" s="268"/>
      <c r="J1467" s="268"/>
      <c r="K1467" s="268"/>
    </row>
    <row r="1468" spans="1:11" ht="18.75" customHeight="1">
      <c r="A1468" s="266"/>
      <c r="B1468" s="267"/>
      <c r="C1468" s="267"/>
      <c r="D1468" s="267"/>
      <c r="E1468" s="267"/>
      <c r="F1468" s="267"/>
      <c r="G1468" s="266"/>
      <c r="H1468" s="266"/>
      <c r="I1468" s="268"/>
      <c r="J1468" s="268"/>
      <c r="K1468" s="268"/>
    </row>
    <row r="1469" spans="1:11" ht="18.75" customHeight="1">
      <c r="A1469" s="266"/>
      <c r="B1469" s="267"/>
      <c r="C1469" s="267"/>
      <c r="D1469" s="267"/>
      <c r="E1469" s="267"/>
      <c r="F1469" s="267"/>
      <c r="G1469" s="266"/>
      <c r="H1469" s="266"/>
      <c r="I1469" s="268"/>
      <c r="J1469" s="268"/>
      <c r="K1469" s="268"/>
    </row>
    <row r="1470" spans="1:11" ht="18.75" customHeight="1">
      <c r="A1470" s="266"/>
      <c r="B1470" s="267"/>
      <c r="C1470" s="267"/>
      <c r="D1470" s="267"/>
      <c r="E1470" s="267"/>
      <c r="F1470" s="267"/>
      <c r="G1470" s="266"/>
      <c r="H1470" s="266"/>
      <c r="I1470" s="268"/>
      <c r="J1470" s="268"/>
      <c r="K1470" s="268"/>
    </row>
    <row r="1471" spans="1:11" ht="18.75" customHeight="1">
      <c r="A1471" s="266"/>
      <c r="B1471" s="267"/>
      <c r="C1471" s="267"/>
      <c r="D1471" s="267"/>
      <c r="E1471" s="267"/>
      <c r="F1471" s="267"/>
      <c r="G1471" s="266"/>
      <c r="H1471" s="266"/>
      <c r="I1471" s="268"/>
      <c r="J1471" s="268"/>
      <c r="K1471" s="268"/>
    </row>
    <row r="1472" spans="1:11" ht="18.75" customHeight="1">
      <c r="A1472" s="266"/>
      <c r="B1472" s="267"/>
      <c r="C1472" s="267"/>
      <c r="D1472" s="267"/>
      <c r="E1472" s="267"/>
      <c r="F1472" s="267"/>
      <c r="G1472" s="266"/>
      <c r="H1472" s="266"/>
      <c r="I1472" s="268"/>
      <c r="J1472" s="268"/>
      <c r="K1472" s="268"/>
    </row>
    <row r="1473" spans="1:11" ht="18.75" customHeight="1">
      <c r="A1473" s="266"/>
      <c r="B1473" s="267"/>
      <c r="C1473" s="267"/>
      <c r="D1473" s="267"/>
      <c r="E1473" s="267"/>
      <c r="F1473" s="267"/>
      <c r="G1473" s="266"/>
      <c r="H1473" s="266"/>
      <c r="I1473" s="268"/>
      <c r="J1473" s="268"/>
      <c r="K1473" s="268"/>
    </row>
    <row r="1474" spans="1:11" ht="18.75" customHeight="1">
      <c r="A1474" s="266"/>
      <c r="B1474" s="267"/>
      <c r="C1474" s="267"/>
      <c r="D1474" s="267"/>
      <c r="E1474" s="267"/>
      <c r="F1474" s="267"/>
      <c r="G1474" s="266"/>
      <c r="H1474" s="266"/>
      <c r="I1474" s="268"/>
      <c r="J1474" s="268"/>
      <c r="K1474" s="268"/>
    </row>
    <row r="1475" spans="1:11" ht="18.75" customHeight="1">
      <c r="A1475" s="266"/>
      <c r="B1475" s="267"/>
      <c r="C1475" s="267"/>
      <c r="D1475" s="267"/>
      <c r="E1475" s="267"/>
      <c r="F1475" s="267"/>
      <c r="G1475" s="266"/>
      <c r="H1475" s="266"/>
      <c r="I1475" s="268"/>
      <c r="J1475" s="268"/>
      <c r="K1475" s="268"/>
    </row>
    <row r="1476" spans="1:11" ht="18.75" customHeight="1">
      <c r="A1476" s="266"/>
      <c r="B1476" s="267"/>
      <c r="C1476" s="267"/>
      <c r="D1476" s="267"/>
      <c r="E1476" s="267"/>
      <c r="F1476" s="267"/>
      <c r="G1476" s="266"/>
      <c r="H1476" s="266"/>
      <c r="I1476" s="268"/>
      <c r="J1476" s="268"/>
      <c r="K1476" s="268"/>
    </row>
    <row r="1477" spans="1:11" ht="18.75" customHeight="1">
      <c r="A1477" s="266"/>
      <c r="B1477" s="267"/>
      <c r="C1477" s="267"/>
      <c r="D1477" s="267"/>
      <c r="E1477" s="267"/>
      <c r="F1477" s="267"/>
      <c r="G1477" s="266"/>
      <c r="H1477" s="266"/>
      <c r="I1477" s="268"/>
      <c r="J1477" s="268"/>
      <c r="K1477" s="268"/>
    </row>
    <row r="1478" spans="1:11" ht="18.75" customHeight="1">
      <c r="A1478" s="266"/>
      <c r="B1478" s="267"/>
      <c r="C1478" s="267"/>
      <c r="D1478" s="267"/>
      <c r="E1478" s="267"/>
      <c r="F1478" s="267"/>
      <c r="G1478" s="266"/>
      <c r="H1478" s="266"/>
      <c r="I1478" s="268"/>
      <c r="J1478" s="268"/>
      <c r="K1478" s="268"/>
    </row>
    <row r="1479" spans="1:11" ht="18.75" customHeight="1">
      <c r="A1479" s="266"/>
      <c r="B1479" s="267"/>
      <c r="C1479" s="267"/>
      <c r="D1479" s="267"/>
      <c r="E1479" s="267"/>
      <c r="F1479" s="267"/>
      <c r="G1479" s="266"/>
      <c r="H1479" s="266"/>
      <c r="I1479" s="268"/>
      <c r="J1479" s="268"/>
      <c r="K1479" s="268"/>
    </row>
  </sheetData>
  <mergeCells count="2753">
    <mergeCell ref="A2:K2"/>
    <mergeCell ref="A3:K3"/>
    <mergeCell ref="B4:G4"/>
    <mergeCell ref="H4:K4"/>
    <mergeCell ref="B5:K5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A39:K39"/>
    <mergeCell ref="A40:K40"/>
    <mergeCell ref="B41:G41"/>
    <mergeCell ref="H41:K41"/>
    <mergeCell ref="B42:K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C63:F63"/>
    <mergeCell ref="G63:H63"/>
    <mergeCell ref="C64:F64"/>
    <mergeCell ref="G64:H64"/>
    <mergeCell ref="C65:F65"/>
    <mergeCell ref="G65:H65"/>
    <mergeCell ref="C66:F66"/>
    <mergeCell ref="G66:H66"/>
    <mergeCell ref="C67:F67"/>
    <mergeCell ref="G67:H67"/>
    <mergeCell ref="C68:F68"/>
    <mergeCell ref="G68:H68"/>
    <mergeCell ref="C69:F69"/>
    <mergeCell ref="G69:H69"/>
    <mergeCell ref="C70:F70"/>
    <mergeCell ref="G70:H70"/>
    <mergeCell ref="C71:F71"/>
    <mergeCell ref="G71:H71"/>
    <mergeCell ref="C72:F72"/>
    <mergeCell ref="G72:H72"/>
    <mergeCell ref="C73:F73"/>
    <mergeCell ref="G73:H73"/>
    <mergeCell ref="C74:F74"/>
    <mergeCell ref="G74:H74"/>
    <mergeCell ref="A76:K76"/>
    <mergeCell ref="A77:K77"/>
    <mergeCell ref="B78:G78"/>
    <mergeCell ref="H78:K78"/>
    <mergeCell ref="B79:K79"/>
    <mergeCell ref="C80:F80"/>
    <mergeCell ref="G80:H80"/>
    <mergeCell ref="C81:F81"/>
    <mergeCell ref="G81:H81"/>
    <mergeCell ref="C82:F82"/>
    <mergeCell ref="G82:H82"/>
    <mergeCell ref="C83:F83"/>
    <mergeCell ref="G83:H83"/>
    <mergeCell ref="C84:F84"/>
    <mergeCell ref="G84:H84"/>
    <mergeCell ref="C85:F85"/>
    <mergeCell ref="G85:H85"/>
    <mergeCell ref="C86:F86"/>
    <mergeCell ref="G86:H86"/>
    <mergeCell ref="C87:F87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C92:F92"/>
    <mergeCell ref="G92:H92"/>
    <mergeCell ref="C93:F93"/>
    <mergeCell ref="G93:H93"/>
    <mergeCell ref="C94:F94"/>
    <mergeCell ref="G94:H94"/>
    <mergeCell ref="C95:F95"/>
    <mergeCell ref="G95:H95"/>
    <mergeCell ref="C96:F96"/>
    <mergeCell ref="G96:H96"/>
    <mergeCell ref="C97:F97"/>
    <mergeCell ref="G97:H97"/>
    <mergeCell ref="C98:F98"/>
    <mergeCell ref="G98:H98"/>
    <mergeCell ref="C99:F99"/>
    <mergeCell ref="G99:H99"/>
    <mergeCell ref="C100:F100"/>
    <mergeCell ref="G100:H100"/>
    <mergeCell ref="C101:F101"/>
    <mergeCell ref="G101:H101"/>
    <mergeCell ref="C102:F102"/>
    <mergeCell ref="G102:H102"/>
    <mergeCell ref="C103:F103"/>
    <mergeCell ref="G103:H103"/>
    <mergeCell ref="C104:F104"/>
    <mergeCell ref="G104:H104"/>
    <mergeCell ref="C105:F105"/>
    <mergeCell ref="G105:H105"/>
    <mergeCell ref="C106:F106"/>
    <mergeCell ref="G106:H106"/>
    <mergeCell ref="C107:F107"/>
    <mergeCell ref="G107:H107"/>
    <mergeCell ref="C108:F108"/>
    <mergeCell ref="G108:H108"/>
    <mergeCell ref="C109:F109"/>
    <mergeCell ref="G109:H109"/>
    <mergeCell ref="C110:F110"/>
    <mergeCell ref="G110:H110"/>
    <mergeCell ref="C111:F111"/>
    <mergeCell ref="G111:H111"/>
    <mergeCell ref="A113:K113"/>
    <mergeCell ref="A114:K114"/>
    <mergeCell ref="B115:G115"/>
    <mergeCell ref="H115:K115"/>
    <mergeCell ref="B116:K116"/>
    <mergeCell ref="C117:F117"/>
    <mergeCell ref="G117:H117"/>
    <mergeCell ref="C118:F118"/>
    <mergeCell ref="G118:H118"/>
    <mergeCell ref="C119:F119"/>
    <mergeCell ref="G119:H119"/>
    <mergeCell ref="C120:F120"/>
    <mergeCell ref="G120:H120"/>
    <mergeCell ref="C121:F121"/>
    <mergeCell ref="G121:H121"/>
    <mergeCell ref="C122:F122"/>
    <mergeCell ref="G122:H122"/>
    <mergeCell ref="C123:F123"/>
    <mergeCell ref="G123:H123"/>
    <mergeCell ref="C124:F124"/>
    <mergeCell ref="G124:H124"/>
    <mergeCell ref="C125:F125"/>
    <mergeCell ref="G125:H125"/>
    <mergeCell ref="C126:F126"/>
    <mergeCell ref="G126:H126"/>
    <mergeCell ref="C127:F127"/>
    <mergeCell ref="G127:H127"/>
    <mergeCell ref="C128:F128"/>
    <mergeCell ref="G128:H128"/>
    <mergeCell ref="C129:F129"/>
    <mergeCell ref="G129:H129"/>
    <mergeCell ref="C130:F130"/>
    <mergeCell ref="G130:H130"/>
    <mergeCell ref="C131:F131"/>
    <mergeCell ref="G131:H131"/>
    <mergeCell ref="C132:F132"/>
    <mergeCell ref="G132:H132"/>
    <mergeCell ref="C133:F133"/>
    <mergeCell ref="G133:H133"/>
    <mergeCell ref="C134:F134"/>
    <mergeCell ref="G134:H134"/>
    <mergeCell ref="C135:F135"/>
    <mergeCell ref="G135:H135"/>
    <mergeCell ref="C136:F136"/>
    <mergeCell ref="G136:H136"/>
    <mergeCell ref="C137:F137"/>
    <mergeCell ref="G137:H137"/>
    <mergeCell ref="C138:F138"/>
    <mergeCell ref="G138:H138"/>
    <mergeCell ref="C139:F139"/>
    <mergeCell ref="G139:H139"/>
    <mergeCell ref="C140:F140"/>
    <mergeCell ref="G140:H140"/>
    <mergeCell ref="C141:F141"/>
    <mergeCell ref="G141:H141"/>
    <mergeCell ref="C142:F142"/>
    <mergeCell ref="G142:H142"/>
    <mergeCell ref="C143:F143"/>
    <mergeCell ref="G143:H143"/>
    <mergeCell ref="C144:F144"/>
    <mergeCell ref="G144:H144"/>
    <mergeCell ref="C145:F145"/>
    <mergeCell ref="G145:H145"/>
    <mergeCell ref="C146:F146"/>
    <mergeCell ref="G146:H146"/>
    <mergeCell ref="C147:F147"/>
    <mergeCell ref="G147:H147"/>
    <mergeCell ref="C148:F148"/>
    <mergeCell ref="G148:H148"/>
    <mergeCell ref="A150:K150"/>
    <mergeCell ref="A151:K151"/>
    <mergeCell ref="B152:G152"/>
    <mergeCell ref="H152:K152"/>
    <mergeCell ref="B153:K153"/>
    <mergeCell ref="C154:F154"/>
    <mergeCell ref="G154:H154"/>
    <mergeCell ref="C155:F155"/>
    <mergeCell ref="G155:H155"/>
    <mergeCell ref="C156:F156"/>
    <mergeCell ref="G156:H156"/>
    <mergeCell ref="C157:F157"/>
    <mergeCell ref="G157:H157"/>
    <mergeCell ref="C158:F158"/>
    <mergeCell ref="G158:H158"/>
    <mergeCell ref="C159:F159"/>
    <mergeCell ref="G159:H159"/>
    <mergeCell ref="C160:F160"/>
    <mergeCell ref="G160:H160"/>
    <mergeCell ref="C161:F161"/>
    <mergeCell ref="G161:H161"/>
    <mergeCell ref="C162:F162"/>
    <mergeCell ref="G162:H162"/>
    <mergeCell ref="C163:F163"/>
    <mergeCell ref="G163:H163"/>
    <mergeCell ref="C164:F164"/>
    <mergeCell ref="G164:H164"/>
    <mergeCell ref="C165:F165"/>
    <mergeCell ref="G165:H165"/>
    <mergeCell ref="C166:F166"/>
    <mergeCell ref="G166:H166"/>
    <mergeCell ref="C167:F167"/>
    <mergeCell ref="G167:H167"/>
    <mergeCell ref="C168:F168"/>
    <mergeCell ref="G168:H168"/>
    <mergeCell ref="C169:F169"/>
    <mergeCell ref="G169:H169"/>
    <mergeCell ref="C170:F170"/>
    <mergeCell ref="G170:H170"/>
    <mergeCell ref="C171:F171"/>
    <mergeCell ref="G171:H171"/>
    <mergeCell ref="C172:F172"/>
    <mergeCell ref="G172:H172"/>
    <mergeCell ref="C173:F173"/>
    <mergeCell ref="G173:H173"/>
    <mergeCell ref="C174:F174"/>
    <mergeCell ref="G174:H174"/>
    <mergeCell ref="C175:F175"/>
    <mergeCell ref="G175:H175"/>
    <mergeCell ref="C176:F176"/>
    <mergeCell ref="G176:H176"/>
    <mergeCell ref="C177:F177"/>
    <mergeCell ref="G177:H177"/>
    <mergeCell ref="C178:F178"/>
    <mergeCell ref="G178:H178"/>
    <mergeCell ref="C179:F179"/>
    <mergeCell ref="G179:H179"/>
    <mergeCell ref="C180:F180"/>
    <mergeCell ref="G180:H180"/>
    <mergeCell ref="C181:F181"/>
    <mergeCell ref="G181:H181"/>
    <mergeCell ref="C182:F182"/>
    <mergeCell ref="G182:H182"/>
    <mergeCell ref="C183:F183"/>
    <mergeCell ref="G183:H183"/>
    <mergeCell ref="C184:F184"/>
    <mergeCell ref="G184:H184"/>
    <mergeCell ref="C185:F185"/>
    <mergeCell ref="G185:H185"/>
    <mergeCell ref="A187:K187"/>
    <mergeCell ref="A188:K188"/>
    <mergeCell ref="B189:G189"/>
    <mergeCell ref="H189:K189"/>
    <mergeCell ref="B190:K190"/>
    <mergeCell ref="C191:F191"/>
    <mergeCell ref="G191:H191"/>
    <mergeCell ref="C192:F192"/>
    <mergeCell ref="G192:H192"/>
    <mergeCell ref="C193:F193"/>
    <mergeCell ref="G193:H193"/>
    <mergeCell ref="C194:F194"/>
    <mergeCell ref="G194:H194"/>
    <mergeCell ref="C195:F195"/>
    <mergeCell ref="G195:H195"/>
    <mergeCell ref="C196:F196"/>
    <mergeCell ref="G196:H196"/>
    <mergeCell ref="C197:F197"/>
    <mergeCell ref="G197:H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C202:F202"/>
    <mergeCell ref="G202:H202"/>
    <mergeCell ref="C203:F203"/>
    <mergeCell ref="G203:H203"/>
    <mergeCell ref="C204:F204"/>
    <mergeCell ref="G204:H204"/>
    <mergeCell ref="C205:F205"/>
    <mergeCell ref="G205:H205"/>
    <mergeCell ref="C206:F206"/>
    <mergeCell ref="G206:H206"/>
    <mergeCell ref="C207:F207"/>
    <mergeCell ref="G207:H207"/>
    <mergeCell ref="C208:F208"/>
    <mergeCell ref="G208:H208"/>
    <mergeCell ref="C209:F209"/>
    <mergeCell ref="G209:H209"/>
    <mergeCell ref="C210:F210"/>
    <mergeCell ref="G210:H210"/>
    <mergeCell ref="C211:F211"/>
    <mergeCell ref="G211:H211"/>
    <mergeCell ref="C212:F212"/>
    <mergeCell ref="G212:H212"/>
    <mergeCell ref="C213:F213"/>
    <mergeCell ref="G213:H213"/>
    <mergeCell ref="C214:F214"/>
    <mergeCell ref="G214:H214"/>
    <mergeCell ref="C215:F215"/>
    <mergeCell ref="G215:H215"/>
    <mergeCell ref="C216:F216"/>
    <mergeCell ref="G216:H216"/>
    <mergeCell ref="C217:F217"/>
    <mergeCell ref="G217:H217"/>
    <mergeCell ref="C218:F218"/>
    <mergeCell ref="G218:H218"/>
    <mergeCell ref="C219:F219"/>
    <mergeCell ref="G219:H219"/>
    <mergeCell ref="C220:F220"/>
    <mergeCell ref="G220:H220"/>
    <mergeCell ref="C221:F221"/>
    <mergeCell ref="G221:H221"/>
    <mergeCell ref="A223:K223"/>
    <mergeCell ref="A224:K224"/>
    <mergeCell ref="B225:G225"/>
    <mergeCell ref="H225:K225"/>
    <mergeCell ref="B226:K226"/>
    <mergeCell ref="C227:F227"/>
    <mergeCell ref="G227:H227"/>
    <mergeCell ref="C228:F228"/>
    <mergeCell ref="G228:H228"/>
    <mergeCell ref="C229:F229"/>
    <mergeCell ref="G229:H229"/>
    <mergeCell ref="C230:F230"/>
    <mergeCell ref="G230:H230"/>
    <mergeCell ref="C231:F231"/>
    <mergeCell ref="G231:H231"/>
    <mergeCell ref="C232:F232"/>
    <mergeCell ref="G232:H232"/>
    <mergeCell ref="C233:F233"/>
    <mergeCell ref="G233:H233"/>
    <mergeCell ref="C234:F234"/>
    <mergeCell ref="G234:H234"/>
    <mergeCell ref="C235:F235"/>
    <mergeCell ref="G235:H235"/>
    <mergeCell ref="C236:F236"/>
    <mergeCell ref="G236:H236"/>
    <mergeCell ref="C237:F237"/>
    <mergeCell ref="G237:H237"/>
    <mergeCell ref="C238:F238"/>
    <mergeCell ref="G238:H238"/>
    <mergeCell ref="C239:F239"/>
    <mergeCell ref="G239:H239"/>
    <mergeCell ref="C240:F240"/>
    <mergeCell ref="G240:H240"/>
    <mergeCell ref="C241:F241"/>
    <mergeCell ref="G241:H241"/>
    <mergeCell ref="C242:F242"/>
    <mergeCell ref="G242:H242"/>
    <mergeCell ref="C243:F243"/>
    <mergeCell ref="G243:H243"/>
    <mergeCell ref="C244:F244"/>
    <mergeCell ref="G244:H244"/>
    <mergeCell ref="C245:F245"/>
    <mergeCell ref="G245:H245"/>
    <mergeCell ref="C246:F246"/>
    <mergeCell ref="G246:H246"/>
    <mergeCell ref="C247:F247"/>
    <mergeCell ref="G247:H247"/>
    <mergeCell ref="C248:F248"/>
    <mergeCell ref="G248:H248"/>
    <mergeCell ref="C249:F249"/>
    <mergeCell ref="G249:H249"/>
    <mergeCell ref="C250:F250"/>
    <mergeCell ref="G250:H250"/>
    <mergeCell ref="C251:F251"/>
    <mergeCell ref="G251:H251"/>
    <mergeCell ref="C252:F252"/>
    <mergeCell ref="G252:H252"/>
    <mergeCell ref="C253:F253"/>
    <mergeCell ref="G253:H253"/>
    <mergeCell ref="C254:F254"/>
    <mergeCell ref="G254:H254"/>
    <mergeCell ref="C255:F255"/>
    <mergeCell ref="G255:H255"/>
    <mergeCell ref="C256:F256"/>
    <mergeCell ref="G256:H256"/>
    <mergeCell ref="C257:F257"/>
    <mergeCell ref="G257:H257"/>
    <mergeCell ref="A259:K259"/>
    <mergeCell ref="A260:K260"/>
    <mergeCell ref="B261:G261"/>
    <mergeCell ref="H261:K261"/>
    <mergeCell ref="B262:K262"/>
    <mergeCell ref="C263:F263"/>
    <mergeCell ref="G263:H263"/>
    <mergeCell ref="C264:F264"/>
    <mergeCell ref="G264:H264"/>
    <mergeCell ref="C265:F265"/>
    <mergeCell ref="G265:H265"/>
    <mergeCell ref="C266:F266"/>
    <mergeCell ref="G266:H266"/>
    <mergeCell ref="C267:F267"/>
    <mergeCell ref="G267:H267"/>
    <mergeCell ref="C268:F268"/>
    <mergeCell ref="G268:H268"/>
    <mergeCell ref="C269:F269"/>
    <mergeCell ref="G269:H269"/>
    <mergeCell ref="C270:F270"/>
    <mergeCell ref="G270:H270"/>
    <mergeCell ref="C271:F271"/>
    <mergeCell ref="G271:H271"/>
    <mergeCell ref="C272:F272"/>
    <mergeCell ref="G272:H272"/>
    <mergeCell ref="C273:F273"/>
    <mergeCell ref="G273:H273"/>
    <mergeCell ref="C274:F274"/>
    <mergeCell ref="G274:H274"/>
    <mergeCell ref="C275:F275"/>
    <mergeCell ref="G275:H275"/>
    <mergeCell ref="C276:F276"/>
    <mergeCell ref="G276:H276"/>
    <mergeCell ref="C277:F277"/>
    <mergeCell ref="G277:H277"/>
    <mergeCell ref="C278:F278"/>
    <mergeCell ref="G278:H278"/>
    <mergeCell ref="C279:F279"/>
    <mergeCell ref="G279:H279"/>
    <mergeCell ref="C280:F280"/>
    <mergeCell ref="G280:H280"/>
    <mergeCell ref="C281:F281"/>
    <mergeCell ref="G281:H281"/>
    <mergeCell ref="C282:F282"/>
    <mergeCell ref="G282:H282"/>
    <mergeCell ref="C283:F283"/>
    <mergeCell ref="G283:H283"/>
    <mergeCell ref="C284:F284"/>
    <mergeCell ref="G284:H284"/>
    <mergeCell ref="C285:F285"/>
    <mergeCell ref="G285:H285"/>
    <mergeCell ref="C286:F286"/>
    <mergeCell ref="G286:H286"/>
    <mergeCell ref="C287:F287"/>
    <mergeCell ref="G287:H287"/>
    <mergeCell ref="C288:F288"/>
    <mergeCell ref="G288:H288"/>
    <mergeCell ref="C289:F289"/>
    <mergeCell ref="G289:H289"/>
    <mergeCell ref="C290:F290"/>
    <mergeCell ref="G290:H290"/>
    <mergeCell ref="C291:F291"/>
    <mergeCell ref="G291:H291"/>
    <mergeCell ref="C292:F292"/>
    <mergeCell ref="G292:H292"/>
    <mergeCell ref="C293:F293"/>
    <mergeCell ref="G293:H293"/>
    <mergeCell ref="C294:F294"/>
    <mergeCell ref="G294:H294"/>
    <mergeCell ref="A296:K296"/>
    <mergeCell ref="A297:K297"/>
    <mergeCell ref="B298:G298"/>
    <mergeCell ref="H298:K298"/>
    <mergeCell ref="B299:K299"/>
    <mergeCell ref="C300:F300"/>
    <mergeCell ref="G300:H300"/>
    <mergeCell ref="C301:F301"/>
    <mergeCell ref="G301:H301"/>
    <mergeCell ref="C302:F302"/>
    <mergeCell ref="G302:H302"/>
    <mergeCell ref="C303:F303"/>
    <mergeCell ref="G303:H303"/>
    <mergeCell ref="C304:F304"/>
    <mergeCell ref="G304:H304"/>
    <mergeCell ref="C305:F305"/>
    <mergeCell ref="G305:H305"/>
    <mergeCell ref="C306:F306"/>
    <mergeCell ref="G306:H306"/>
    <mergeCell ref="C307:F307"/>
    <mergeCell ref="G307:H307"/>
    <mergeCell ref="C308:F308"/>
    <mergeCell ref="G308:H308"/>
    <mergeCell ref="C309:F309"/>
    <mergeCell ref="G309:H309"/>
    <mergeCell ref="C310:F310"/>
    <mergeCell ref="G310:H310"/>
    <mergeCell ref="C311:F311"/>
    <mergeCell ref="G311:H311"/>
    <mergeCell ref="C312:F312"/>
    <mergeCell ref="G312:H312"/>
    <mergeCell ref="C313:F313"/>
    <mergeCell ref="G313:H313"/>
    <mergeCell ref="C314:F314"/>
    <mergeCell ref="G314:H314"/>
    <mergeCell ref="C315:F315"/>
    <mergeCell ref="G315:H315"/>
    <mergeCell ref="C316:F316"/>
    <mergeCell ref="G316:H316"/>
    <mergeCell ref="C317:F317"/>
    <mergeCell ref="G317:H317"/>
    <mergeCell ref="C318:F318"/>
    <mergeCell ref="G318:H318"/>
    <mergeCell ref="C319:F319"/>
    <mergeCell ref="G319:H319"/>
    <mergeCell ref="C320:F320"/>
    <mergeCell ref="G320:H320"/>
    <mergeCell ref="C321:F321"/>
    <mergeCell ref="G321:H321"/>
    <mergeCell ref="C322:F322"/>
    <mergeCell ref="G322:H322"/>
    <mergeCell ref="C323:F323"/>
    <mergeCell ref="G323:H323"/>
    <mergeCell ref="C324:F324"/>
    <mergeCell ref="G324:H324"/>
    <mergeCell ref="C325:F325"/>
    <mergeCell ref="G325:H325"/>
    <mergeCell ref="C326:F326"/>
    <mergeCell ref="G326:H326"/>
    <mergeCell ref="C327:F327"/>
    <mergeCell ref="G327:H327"/>
    <mergeCell ref="C328:F328"/>
    <mergeCell ref="G328:H328"/>
    <mergeCell ref="C329:F329"/>
    <mergeCell ref="G329:H329"/>
    <mergeCell ref="C330:F330"/>
    <mergeCell ref="G330:H330"/>
    <mergeCell ref="C331:F331"/>
    <mergeCell ref="G331:H331"/>
    <mergeCell ref="A333:K333"/>
    <mergeCell ref="A334:K334"/>
    <mergeCell ref="B335:G335"/>
    <mergeCell ref="H335:K335"/>
    <mergeCell ref="B336:K336"/>
    <mergeCell ref="C337:F337"/>
    <mergeCell ref="G337:H337"/>
    <mergeCell ref="C338:F338"/>
    <mergeCell ref="G338:H338"/>
    <mergeCell ref="C339:F339"/>
    <mergeCell ref="G339:H339"/>
    <mergeCell ref="C340:F340"/>
    <mergeCell ref="G340:H340"/>
    <mergeCell ref="C341:F341"/>
    <mergeCell ref="G341:H341"/>
    <mergeCell ref="C342:F342"/>
    <mergeCell ref="G342:H342"/>
    <mergeCell ref="C343:F343"/>
    <mergeCell ref="G343:H343"/>
    <mergeCell ref="C344:F344"/>
    <mergeCell ref="G344:H344"/>
    <mergeCell ref="C345:F345"/>
    <mergeCell ref="G345:H345"/>
    <mergeCell ref="C346:F346"/>
    <mergeCell ref="G346:H346"/>
    <mergeCell ref="C347:F347"/>
    <mergeCell ref="G347:H347"/>
    <mergeCell ref="C348:F348"/>
    <mergeCell ref="G348:H348"/>
    <mergeCell ref="C349:F349"/>
    <mergeCell ref="G349:H349"/>
    <mergeCell ref="C350:F350"/>
    <mergeCell ref="G350:H350"/>
    <mergeCell ref="C351:F351"/>
    <mergeCell ref="G351:H351"/>
    <mergeCell ref="C352:F352"/>
    <mergeCell ref="G352:H352"/>
    <mergeCell ref="C353:F353"/>
    <mergeCell ref="G353:H353"/>
    <mergeCell ref="C354:F354"/>
    <mergeCell ref="G354:H354"/>
    <mergeCell ref="C355:F355"/>
    <mergeCell ref="G355:H355"/>
    <mergeCell ref="C356:F356"/>
    <mergeCell ref="G356:H356"/>
    <mergeCell ref="C357:F357"/>
    <mergeCell ref="G357:H357"/>
    <mergeCell ref="C358:F358"/>
    <mergeCell ref="G358:H358"/>
    <mergeCell ref="C359:F359"/>
    <mergeCell ref="G359:H359"/>
    <mergeCell ref="C360:F360"/>
    <mergeCell ref="G360:H360"/>
    <mergeCell ref="C361:F361"/>
    <mergeCell ref="G361:H361"/>
    <mergeCell ref="C362:F362"/>
    <mergeCell ref="G362:H362"/>
    <mergeCell ref="C363:F363"/>
    <mergeCell ref="G363:H363"/>
    <mergeCell ref="C364:F364"/>
    <mergeCell ref="G364:H364"/>
    <mergeCell ref="C365:F365"/>
    <mergeCell ref="G365:H365"/>
    <mergeCell ref="C366:F366"/>
    <mergeCell ref="G366:H366"/>
    <mergeCell ref="C367:F367"/>
    <mergeCell ref="G367:H367"/>
    <mergeCell ref="C368:F368"/>
    <mergeCell ref="G368:H368"/>
    <mergeCell ref="A370:K370"/>
    <mergeCell ref="A371:K371"/>
    <mergeCell ref="B372:G372"/>
    <mergeCell ref="H372:K372"/>
    <mergeCell ref="B373:K373"/>
    <mergeCell ref="C374:F374"/>
    <mergeCell ref="G374:H374"/>
    <mergeCell ref="C375:F375"/>
    <mergeCell ref="G375:H375"/>
    <mergeCell ref="C376:F376"/>
    <mergeCell ref="G376:H376"/>
    <mergeCell ref="C377:F377"/>
    <mergeCell ref="G377:H377"/>
    <mergeCell ref="C378:F378"/>
    <mergeCell ref="G378:H378"/>
    <mergeCell ref="C379:F379"/>
    <mergeCell ref="G379:H379"/>
    <mergeCell ref="C380:F380"/>
    <mergeCell ref="G380:H380"/>
    <mergeCell ref="C381:F381"/>
    <mergeCell ref="G381:H381"/>
    <mergeCell ref="C382:F382"/>
    <mergeCell ref="G382:H382"/>
    <mergeCell ref="C383:F383"/>
    <mergeCell ref="G383:H383"/>
    <mergeCell ref="C384:F384"/>
    <mergeCell ref="G384:H384"/>
    <mergeCell ref="C385:F385"/>
    <mergeCell ref="G385:H385"/>
    <mergeCell ref="C386:F386"/>
    <mergeCell ref="G386:H386"/>
    <mergeCell ref="C387:F387"/>
    <mergeCell ref="G387:H387"/>
    <mergeCell ref="C388:F388"/>
    <mergeCell ref="G388:H388"/>
    <mergeCell ref="C389:F389"/>
    <mergeCell ref="G389:H389"/>
    <mergeCell ref="C390:F390"/>
    <mergeCell ref="G390:H390"/>
    <mergeCell ref="C391:F391"/>
    <mergeCell ref="G391:H391"/>
    <mergeCell ref="C392:F392"/>
    <mergeCell ref="G392:H392"/>
    <mergeCell ref="C393:F393"/>
    <mergeCell ref="G393:H393"/>
    <mergeCell ref="C394:F394"/>
    <mergeCell ref="G394:H394"/>
    <mergeCell ref="C395:F395"/>
    <mergeCell ref="G395:H395"/>
    <mergeCell ref="C396:F396"/>
    <mergeCell ref="G396:H396"/>
    <mergeCell ref="C397:F397"/>
    <mergeCell ref="G397:H397"/>
    <mergeCell ref="C398:F398"/>
    <mergeCell ref="G398:H398"/>
    <mergeCell ref="C399:F399"/>
    <mergeCell ref="G399:H399"/>
    <mergeCell ref="C400:F400"/>
    <mergeCell ref="G400:H400"/>
    <mergeCell ref="C401:F401"/>
    <mergeCell ref="G401:H401"/>
    <mergeCell ref="C402:F402"/>
    <mergeCell ref="G402:H402"/>
    <mergeCell ref="C403:F403"/>
    <mergeCell ref="G403:H403"/>
    <mergeCell ref="A405:K405"/>
    <mergeCell ref="A406:K406"/>
    <mergeCell ref="B407:G407"/>
    <mergeCell ref="H407:K407"/>
    <mergeCell ref="B408:K408"/>
    <mergeCell ref="C409:F409"/>
    <mergeCell ref="G409:H409"/>
    <mergeCell ref="C410:F410"/>
    <mergeCell ref="G410:H410"/>
    <mergeCell ref="C411:F411"/>
    <mergeCell ref="G411:H411"/>
    <mergeCell ref="C412:F412"/>
    <mergeCell ref="G412:H412"/>
    <mergeCell ref="C413:F413"/>
    <mergeCell ref="G413:H413"/>
    <mergeCell ref="C414:F414"/>
    <mergeCell ref="G414:H414"/>
    <mergeCell ref="C415:F415"/>
    <mergeCell ref="G415:H415"/>
    <mergeCell ref="C416:F416"/>
    <mergeCell ref="G416:H416"/>
    <mergeCell ref="C417:F417"/>
    <mergeCell ref="G417:H417"/>
    <mergeCell ref="C418:F418"/>
    <mergeCell ref="G418:H418"/>
    <mergeCell ref="C419:F419"/>
    <mergeCell ref="G419:H419"/>
    <mergeCell ref="C420:F420"/>
    <mergeCell ref="G420:H420"/>
    <mergeCell ref="C421:F421"/>
    <mergeCell ref="G421:H421"/>
    <mergeCell ref="C422:F422"/>
    <mergeCell ref="G422:H422"/>
    <mergeCell ref="C423:F423"/>
    <mergeCell ref="G423:H423"/>
    <mergeCell ref="C424:F424"/>
    <mergeCell ref="G424:H424"/>
    <mergeCell ref="C425:F425"/>
    <mergeCell ref="G425:H425"/>
    <mergeCell ref="C426:F426"/>
    <mergeCell ref="G426:H426"/>
    <mergeCell ref="C427:F427"/>
    <mergeCell ref="G427:H427"/>
    <mergeCell ref="C428:F428"/>
    <mergeCell ref="G428:H428"/>
    <mergeCell ref="C429:F429"/>
    <mergeCell ref="G429:H429"/>
    <mergeCell ref="C430:F430"/>
    <mergeCell ref="G430:H430"/>
    <mergeCell ref="C431:F431"/>
    <mergeCell ref="G431:H431"/>
    <mergeCell ref="C432:F432"/>
    <mergeCell ref="G432:H432"/>
    <mergeCell ref="C433:F433"/>
    <mergeCell ref="G433:H433"/>
    <mergeCell ref="C434:F434"/>
    <mergeCell ref="G434:H434"/>
    <mergeCell ref="C435:F435"/>
    <mergeCell ref="G435:H435"/>
    <mergeCell ref="C436:F436"/>
    <mergeCell ref="G436:H436"/>
    <mergeCell ref="C437:F437"/>
    <mergeCell ref="G437:H437"/>
    <mergeCell ref="C438:F438"/>
    <mergeCell ref="G438:H438"/>
    <mergeCell ref="A440:K440"/>
    <mergeCell ref="A441:K441"/>
    <mergeCell ref="B442:G442"/>
    <mergeCell ref="H442:K442"/>
    <mergeCell ref="B443:K443"/>
    <mergeCell ref="C444:F444"/>
    <mergeCell ref="G444:H444"/>
    <mergeCell ref="C445:F445"/>
    <mergeCell ref="G445:H445"/>
    <mergeCell ref="C446:F446"/>
    <mergeCell ref="G446:H446"/>
    <mergeCell ref="C447:F447"/>
    <mergeCell ref="G447:H447"/>
    <mergeCell ref="C448:F448"/>
    <mergeCell ref="G448:H448"/>
    <mergeCell ref="C449:F449"/>
    <mergeCell ref="G449:H449"/>
    <mergeCell ref="C450:F450"/>
    <mergeCell ref="G450:H450"/>
    <mergeCell ref="C451:F451"/>
    <mergeCell ref="G451:H451"/>
    <mergeCell ref="C452:F452"/>
    <mergeCell ref="G452:H452"/>
    <mergeCell ref="C453:F453"/>
    <mergeCell ref="G453:H453"/>
    <mergeCell ref="C454:F454"/>
    <mergeCell ref="G454:H454"/>
    <mergeCell ref="C455:F455"/>
    <mergeCell ref="G455:H455"/>
    <mergeCell ref="C456:F456"/>
    <mergeCell ref="G456:H456"/>
    <mergeCell ref="C457:F457"/>
    <mergeCell ref="G457:H457"/>
    <mergeCell ref="C458:F458"/>
    <mergeCell ref="G458:H458"/>
    <mergeCell ref="C459:F459"/>
    <mergeCell ref="G459:H459"/>
    <mergeCell ref="C460:F460"/>
    <mergeCell ref="G460:H460"/>
    <mergeCell ref="C461:F461"/>
    <mergeCell ref="G461:H461"/>
    <mergeCell ref="C462:F462"/>
    <mergeCell ref="G462:H462"/>
    <mergeCell ref="C463:F463"/>
    <mergeCell ref="G463:H463"/>
    <mergeCell ref="C464:F464"/>
    <mergeCell ref="G464:H464"/>
    <mergeCell ref="C465:F465"/>
    <mergeCell ref="G465:H465"/>
    <mergeCell ref="C466:F466"/>
    <mergeCell ref="G466:H466"/>
    <mergeCell ref="C467:F467"/>
    <mergeCell ref="G467:H467"/>
    <mergeCell ref="C468:F468"/>
    <mergeCell ref="G468:H468"/>
    <mergeCell ref="C469:F469"/>
    <mergeCell ref="G469:H469"/>
    <mergeCell ref="C470:F470"/>
    <mergeCell ref="G470:H470"/>
    <mergeCell ref="C471:F471"/>
    <mergeCell ref="G471:H471"/>
    <mergeCell ref="C472:F472"/>
    <mergeCell ref="G472:H472"/>
    <mergeCell ref="A474:K474"/>
    <mergeCell ref="A475:K475"/>
    <mergeCell ref="B476:G476"/>
    <mergeCell ref="H476:K476"/>
    <mergeCell ref="B477:K477"/>
    <mergeCell ref="C478:F478"/>
    <mergeCell ref="G478:H478"/>
    <mergeCell ref="C479:F479"/>
    <mergeCell ref="G479:H479"/>
    <mergeCell ref="C480:F480"/>
    <mergeCell ref="G480:H480"/>
    <mergeCell ref="C481:F481"/>
    <mergeCell ref="G481:H481"/>
    <mergeCell ref="C482:F482"/>
    <mergeCell ref="G482:H482"/>
    <mergeCell ref="C483:F483"/>
    <mergeCell ref="G483:H483"/>
    <mergeCell ref="C484:F484"/>
    <mergeCell ref="G484:H484"/>
    <mergeCell ref="C485:F485"/>
    <mergeCell ref="G485:H485"/>
    <mergeCell ref="C486:F486"/>
    <mergeCell ref="G486:H486"/>
    <mergeCell ref="C487:F487"/>
    <mergeCell ref="G487:H487"/>
    <mergeCell ref="C488:F488"/>
    <mergeCell ref="G488:H488"/>
    <mergeCell ref="C489:F489"/>
    <mergeCell ref="G489:H489"/>
    <mergeCell ref="C490:F490"/>
    <mergeCell ref="G490:H490"/>
    <mergeCell ref="C491:F491"/>
    <mergeCell ref="G491:H491"/>
    <mergeCell ref="C492:F492"/>
    <mergeCell ref="G492:H492"/>
    <mergeCell ref="C493:F493"/>
    <mergeCell ref="G493:H493"/>
    <mergeCell ref="C494:F494"/>
    <mergeCell ref="G494:H494"/>
    <mergeCell ref="C495:F495"/>
    <mergeCell ref="G495:H495"/>
    <mergeCell ref="C496:F496"/>
    <mergeCell ref="G496:H496"/>
    <mergeCell ref="C497:F497"/>
    <mergeCell ref="G497:H497"/>
    <mergeCell ref="C498:F498"/>
    <mergeCell ref="G498:H498"/>
    <mergeCell ref="C499:F499"/>
    <mergeCell ref="G499:H499"/>
    <mergeCell ref="C500:F500"/>
    <mergeCell ref="G500:H500"/>
    <mergeCell ref="C501:F501"/>
    <mergeCell ref="G501:H501"/>
    <mergeCell ref="C502:F502"/>
    <mergeCell ref="G502:H502"/>
    <mergeCell ref="C503:F503"/>
    <mergeCell ref="G503:H503"/>
    <mergeCell ref="C504:F504"/>
    <mergeCell ref="G504:H504"/>
    <mergeCell ref="C505:F505"/>
    <mergeCell ref="G505:H505"/>
    <mergeCell ref="C506:F506"/>
    <mergeCell ref="G506:H506"/>
    <mergeCell ref="C507:F507"/>
    <mergeCell ref="G507:H507"/>
    <mergeCell ref="A509:K509"/>
    <mergeCell ref="A510:K510"/>
    <mergeCell ref="B511:G511"/>
    <mergeCell ref="H511:K511"/>
    <mergeCell ref="B512:K512"/>
    <mergeCell ref="C513:F513"/>
    <mergeCell ref="G513:H513"/>
    <mergeCell ref="C514:F514"/>
    <mergeCell ref="G514:H514"/>
    <mergeCell ref="C515:F515"/>
    <mergeCell ref="G515:H515"/>
    <mergeCell ref="C516:F516"/>
    <mergeCell ref="G516:H516"/>
    <mergeCell ref="C517:F517"/>
    <mergeCell ref="G517:H517"/>
    <mergeCell ref="C518:F518"/>
    <mergeCell ref="G518:H518"/>
    <mergeCell ref="C519:F519"/>
    <mergeCell ref="G519:H519"/>
    <mergeCell ref="C520:F520"/>
    <mergeCell ref="G520:H520"/>
    <mergeCell ref="C521:F521"/>
    <mergeCell ref="G521:H521"/>
    <mergeCell ref="C522:F522"/>
    <mergeCell ref="G522:H522"/>
    <mergeCell ref="C523:F523"/>
    <mergeCell ref="G523:H523"/>
    <mergeCell ref="C524:F524"/>
    <mergeCell ref="G524:H524"/>
    <mergeCell ref="C525:F525"/>
    <mergeCell ref="G525:H525"/>
    <mergeCell ref="C526:F526"/>
    <mergeCell ref="G526:H526"/>
    <mergeCell ref="C527:F527"/>
    <mergeCell ref="G527:H527"/>
    <mergeCell ref="C528:F528"/>
    <mergeCell ref="G528:H528"/>
    <mergeCell ref="C529:F529"/>
    <mergeCell ref="G529:H529"/>
    <mergeCell ref="C530:F530"/>
    <mergeCell ref="G530:H530"/>
    <mergeCell ref="C531:F531"/>
    <mergeCell ref="G531:H531"/>
    <mergeCell ref="C532:F532"/>
    <mergeCell ref="G532:H532"/>
    <mergeCell ref="C533:F533"/>
    <mergeCell ref="G533:H533"/>
    <mergeCell ref="C534:F534"/>
    <mergeCell ref="G534:H534"/>
    <mergeCell ref="C535:F535"/>
    <mergeCell ref="G535:H535"/>
    <mergeCell ref="C536:F536"/>
    <mergeCell ref="G536:H536"/>
    <mergeCell ref="C537:F537"/>
    <mergeCell ref="G537:H537"/>
    <mergeCell ref="C538:F538"/>
    <mergeCell ref="G538:H538"/>
    <mergeCell ref="C539:F539"/>
    <mergeCell ref="G539:H539"/>
    <mergeCell ref="C540:F540"/>
    <mergeCell ref="G540:H540"/>
    <mergeCell ref="A542:K542"/>
    <mergeCell ref="A543:K543"/>
    <mergeCell ref="B544:G544"/>
    <mergeCell ref="H544:K544"/>
    <mergeCell ref="B545:K545"/>
    <mergeCell ref="C546:F546"/>
    <mergeCell ref="G546:H546"/>
    <mergeCell ref="C547:F547"/>
    <mergeCell ref="G547:H547"/>
    <mergeCell ref="C548:F548"/>
    <mergeCell ref="G548:H548"/>
    <mergeCell ref="C549:F549"/>
    <mergeCell ref="G549:H549"/>
    <mergeCell ref="C550:F550"/>
    <mergeCell ref="G550:H550"/>
    <mergeCell ref="C551:F551"/>
    <mergeCell ref="G551:H551"/>
    <mergeCell ref="C552:F552"/>
    <mergeCell ref="G552:H552"/>
    <mergeCell ref="C553:F553"/>
    <mergeCell ref="G553:H553"/>
    <mergeCell ref="C554:F554"/>
    <mergeCell ref="G554:H554"/>
    <mergeCell ref="C555:F555"/>
    <mergeCell ref="G555:H555"/>
    <mergeCell ref="C556:F556"/>
    <mergeCell ref="G556:H556"/>
    <mergeCell ref="C557:F557"/>
    <mergeCell ref="G557:H557"/>
    <mergeCell ref="C558:F558"/>
    <mergeCell ref="G558:H558"/>
    <mergeCell ref="C559:F559"/>
    <mergeCell ref="G559:H559"/>
    <mergeCell ref="C560:F560"/>
    <mergeCell ref="G560:H560"/>
    <mergeCell ref="C561:F561"/>
    <mergeCell ref="G561:H561"/>
    <mergeCell ref="C562:F562"/>
    <mergeCell ref="G562:H562"/>
    <mergeCell ref="C563:F563"/>
    <mergeCell ref="G563:H563"/>
    <mergeCell ref="C564:F564"/>
    <mergeCell ref="G564:H564"/>
    <mergeCell ref="C565:F565"/>
    <mergeCell ref="G565:H565"/>
    <mergeCell ref="C566:F566"/>
    <mergeCell ref="G566:H566"/>
    <mergeCell ref="C567:F567"/>
    <mergeCell ref="G567:H567"/>
    <mergeCell ref="C568:F568"/>
    <mergeCell ref="G568:H568"/>
    <mergeCell ref="C569:F569"/>
    <mergeCell ref="G569:H569"/>
    <mergeCell ref="C570:F570"/>
    <mergeCell ref="G570:H570"/>
    <mergeCell ref="C571:F571"/>
    <mergeCell ref="G571:H571"/>
    <mergeCell ref="C572:F572"/>
    <mergeCell ref="G572:H572"/>
    <mergeCell ref="C573:F573"/>
    <mergeCell ref="G573:H573"/>
    <mergeCell ref="C574:F574"/>
    <mergeCell ref="G574:H574"/>
    <mergeCell ref="C575:F575"/>
    <mergeCell ref="G575:H575"/>
    <mergeCell ref="A577:K577"/>
    <mergeCell ref="A578:K578"/>
    <mergeCell ref="B579:G579"/>
    <mergeCell ref="H579:K579"/>
    <mergeCell ref="B580:K580"/>
    <mergeCell ref="C581:F581"/>
    <mergeCell ref="G581:H581"/>
    <mergeCell ref="C582:F582"/>
    <mergeCell ref="G582:H582"/>
    <mergeCell ref="C583:F583"/>
    <mergeCell ref="G583:H583"/>
    <mergeCell ref="C584:F584"/>
    <mergeCell ref="G584:H584"/>
    <mergeCell ref="C585:F585"/>
    <mergeCell ref="G585:H585"/>
    <mergeCell ref="C586:F586"/>
    <mergeCell ref="G586:H586"/>
    <mergeCell ref="C587:F587"/>
    <mergeCell ref="G587:H587"/>
    <mergeCell ref="C588:F588"/>
    <mergeCell ref="G588:H588"/>
    <mergeCell ref="C589:F589"/>
    <mergeCell ref="G589:H589"/>
    <mergeCell ref="C590:F590"/>
    <mergeCell ref="G590:H590"/>
    <mergeCell ref="C591:F591"/>
    <mergeCell ref="G591:H591"/>
    <mergeCell ref="C592:F592"/>
    <mergeCell ref="G592:H592"/>
    <mergeCell ref="C593:F593"/>
    <mergeCell ref="G593:H593"/>
    <mergeCell ref="C594:F594"/>
    <mergeCell ref="G594:H594"/>
    <mergeCell ref="C595:F595"/>
    <mergeCell ref="G595:H595"/>
    <mergeCell ref="C596:F596"/>
    <mergeCell ref="G596:H596"/>
    <mergeCell ref="C597:F597"/>
    <mergeCell ref="G597:H597"/>
    <mergeCell ref="C598:F598"/>
    <mergeCell ref="G598:H598"/>
    <mergeCell ref="C599:F599"/>
    <mergeCell ref="G599:H599"/>
    <mergeCell ref="C600:F600"/>
    <mergeCell ref="G600:H600"/>
    <mergeCell ref="C601:F601"/>
    <mergeCell ref="G601:H601"/>
    <mergeCell ref="C602:F602"/>
    <mergeCell ref="G602:H602"/>
    <mergeCell ref="C603:F603"/>
    <mergeCell ref="G603:H603"/>
    <mergeCell ref="C604:F604"/>
    <mergeCell ref="G604:H604"/>
    <mergeCell ref="C605:F605"/>
    <mergeCell ref="G605:H605"/>
    <mergeCell ref="C606:F606"/>
    <mergeCell ref="G606:H606"/>
    <mergeCell ref="C607:F607"/>
    <mergeCell ref="G607:H607"/>
    <mergeCell ref="C608:F608"/>
    <mergeCell ref="G608:H608"/>
    <mergeCell ref="C609:F609"/>
    <mergeCell ref="G609:H609"/>
    <mergeCell ref="A611:K611"/>
    <mergeCell ref="A612:K612"/>
    <mergeCell ref="B613:G613"/>
    <mergeCell ref="H613:K613"/>
    <mergeCell ref="B614:K614"/>
    <mergeCell ref="C615:F615"/>
    <mergeCell ref="G615:H615"/>
    <mergeCell ref="C616:F616"/>
    <mergeCell ref="G616:H616"/>
    <mergeCell ref="C617:F617"/>
    <mergeCell ref="G617:H617"/>
    <mergeCell ref="C618:F618"/>
    <mergeCell ref="G618:H618"/>
    <mergeCell ref="C619:F619"/>
    <mergeCell ref="G619:H619"/>
    <mergeCell ref="C620:F620"/>
    <mergeCell ref="G620:H620"/>
    <mergeCell ref="C621:F621"/>
    <mergeCell ref="G621:H621"/>
    <mergeCell ref="C622:F622"/>
    <mergeCell ref="G622:H622"/>
    <mergeCell ref="C623:F623"/>
    <mergeCell ref="G623:H623"/>
    <mergeCell ref="C624:F624"/>
    <mergeCell ref="G624:H624"/>
    <mergeCell ref="C625:F625"/>
    <mergeCell ref="G625:H625"/>
    <mergeCell ref="C626:F626"/>
    <mergeCell ref="G626:H626"/>
    <mergeCell ref="C627:F627"/>
    <mergeCell ref="G627:H627"/>
    <mergeCell ref="C628:F628"/>
    <mergeCell ref="G628:H628"/>
    <mergeCell ref="C629:F629"/>
    <mergeCell ref="G629:H629"/>
    <mergeCell ref="C630:F630"/>
    <mergeCell ref="G630:H630"/>
    <mergeCell ref="C631:F631"/>
    <mergeCell ref="G631:H631"/>
    <mergeCell ref="C632:F632"/>
    <mergeCell ref="G632:H632"/>
    <mergeCell ref="C633:F633"/>
    <mergeCell ref="G633:H633"/>
    <mergeCell ref="C634:F634"/>
    <mergeCell ref="G634:H634"/>
    <mergeCell ref="C635:F635"/>
    <mergeCell ref="G635:H635"/>
    <mergeCell ref="C636:F636"/>
    <mergeCell ref="G636:H636"/>
    <mergeCell ref="C637:F637"/>
    <mergeCell ref="G637:H637"/>
    <mergeCell ref="C638:F638"/>
    <mergeCell ref="G638:H638"/>
    <mergeCell ref="C639:F639"/>
    <mergeCell ref="G639:H639"/>
    <mergeCell ref="C640:F640"/>
    <mergeCell ref="G640:H640"/>
    <mergeCell ref="C641:F641"/>
    <mergeCell ref="G641:H641"/>
    <mergeCell ref="C642:F642"/>
    <mergeCell ref="G642:H642"/>
    <mergeCell ref="C643:F643"/>
    <mergeCell ref="G643:H643"/>
    <mergeCell ref="C644:F644"/>
    <mergeCell ref="G644:H644"/>
    <mergeCell ref="A646:K646"/>
    <mergeCell ref="A647:K647"/>
    <mergeCell ref="B648:G648"/>
    <mergeCell ref="H648:K648"/>
    <mergeCell ref="B649:K649"/>
    <mergeCell ref="C650:F650"/>
    <mergeCell ref="G650:H650"/>
    <mergeCell ref="C651:F651"/>
    <mergeCell ref="G651:H651"/>
    <mergeCell ref="C652:F652"/>
    <mergeCell ref="G652:H652"/>
    <mergeCell ref="C653:F653"/>
    <mergeCell ref="G653:H653"/>
    <mergeCell ref="C654:F654"/>
    <mergeCell ref="G654:H654"/>
    <mergeCell ref="C655:F655"/>
    <mergeCell ref="G655:H655"/>
    <mergeCell ref="C656:F656"/>
    <mergeCell ref="G656:H656"/>
    <mergeCell ref="C657:F657"/>
    <mergeCell ref="G657:H657"/>
    <mergeCell ref="C658:F658"/>
    <mergeCell ref="G658:H658"/>
    <mergeCell ref="C659:F659"/>
    <mergeCell ref="G659:H659"/>
    <mergeCell ref="C660:F660"/>
    <mergeCell ref="G660:H660"/>
    <mergeCell ref="C661:F661"/>
    <mergeCell ref="G661:H661"/>
    <mergeCell ref="C662:F662"/>
    <mergeCell ref="G662:H662"/>
    <mergeCell ref="C663:F663"/>
    <mergeCell ref="G663:H663"/>
    <mergeCell ref="C664:F664"/>
    <mergeCell ref="G664:H664"/>
    <mergeCell ref="C665:F665"/>
    <mergeCell ref="G665:H665"/>
    <mergeCell ref="C666:F666"/>
    <mergeCell ref="G666:H666"/>
    <mergeCell ref="C667:F667"/>
    <mergeCell ref="G667:H667"/>
    <mergeCell ref="C668:F668"/>
    <mergeCell ref="G668:H668"/>
    <mergeCell ref="C669:F669"/>
    <mergeCell ref="G669:H669"/>
    <mergeCell ref="C670:F670"/>
    <mergeCell ref="G670:H670"/>
    <mergeCell ref="C671:F671"/>
    <mergeCell ref="G671:H671"/>
    <mergeCell ref="C672:F672"/>
    <mergeCell ref="G672:H672"/>
    <mergeCell ref="C673:F673"/>
    <mergeCell ref="G673:H673"/>
    <mergeCell ref="C674:F674"/>
    <mergeCell ref="G674:H674"/>
    <mergeCell ref="C675:F675"/>
    <mergeCell ref="G675:H675"/>
    <mergeCell ref="C676:F676"/>
    <mergeCell ref="G676:H676"/>
    <mergeCell ref="C677:F677"/>
    <mergeCell ref="G677:H677"/>
    <mergeCell ref="C678:F678"/>
    <mergeCell ref="G678:H678"/>
    <mergeCell ref="A680:K680"/>
    <mergeCell ref="A681:K681"/>
    <mergeCell ref="B682:G682"/>
    <mergeCell ref="H682:K682"/>
    <mergeCell ref="B683:K683"/>
    <mergeCell ref="C684:F684"/>
    <mergeCell ref="G684:H684"/>
    <mergeCell ref="C685:F685"/>
    <mergeCell ref="G685:H685"/>
    <mergeCell ref="C686:F686"/>
    <mergeCell ref="G686:H686"/>
    <mergeCell ref="C687:F687"/>
    <mergeCell ref="G687:H687"/>
    <mergeCell ref="C688:F688"/>
    <mergeCell ref="G688:H688"/>
    <mergeCell ref="C689:F689"/>
    <mergeCell ref="G689:H689"/>
    <mergeCell ref="C690:F690"/>
    <mergeCell ref="G690:H690"/>
    <mergeCell ref="C691:F691"/>
    <mergeCell ref="G691:H691"/>
    <mergeCell ref="C692:F692"/>
    <mergeCell ref="G692:H692"/>
    <mergeCell ref="C693:F693"/>
    <mergeCell ref="G693:H693"/>
    <mergeCell ref="C694:F694"/>
    <mergeCell ref="G694:H694"/>
    <mergeCell ref="C695:F695"/>
    <mergeCell ref="G695:H695"/>
    <mergeCell ref="C696:F696"/>
    <mergeCell ref="G696:H696"/>
    <mergeCell ref="C697:F697"/>
    <mergeCell ref="G697:H697"/>
    <mergeCell ref="C698:F698"/>
    <mergeCell ref="G698:H698"/>
    <mergeCell ref="C699:F699"/>
    <mergeCell ref="G699:H699"/>
    <mergeCell ref="C700:F700"/>
    <mergeCell ref="G700:H700"/>
    <mergeCell ref="C701:F701"/>
    <mergeCell ref="G701:H701"/>
    <mergeCell ref="C702:F702"/>
    <mergeCell ref="G702:H702"/>
    <mergeCell ref="C703:F703"/>
    <mergeCell ref="G703:H703"/>
    <mergeCell ref="C704:F704"/>
    <mergeCell ref="G704:H704"/>
    <mergeCell ref="C705:F705"/>
    <mergeCell ref="G705:H705"/>
    <mergeCell ref="C706:F706"/>
    <mergeCell ref="G706:H706"/>
    <mergeCell ref="C707:F707"/>
    <mergeCell ref="G707:H707"/>
    <mergeCell ref="C708:F708"/>
    <mergeCell ref="G708:H708"/>
    <mergeCell ref="C709:F709"/>
    <mergeCell ref="G709:H709"/>
    <mergeCell ref="C710:F710"/>
    <mergeCell ref="G710:H710"/>
    <mergeCell ref="C711:F711"/>
    <mergeCell ref="G711:H711"/>
    <mergeCell ref="C712:F712"/>
    <mergeCell ref="G712:H712"/>
    <mergeCell ref="C713:F713"/>
    <mergeCell ref="G713:H713"/>
    <mergeCell ref="A715:K715"/>
    <mergeCell ref="A716:K716"/>
    <mergeCell ref="B717:G717"/>
    <mergeCell ref="H717:K717"/>
    <mergeCell ref="B718:K718"/>
    <mergeCell ref="C719:F719"/>
    <mergeCell ref="G719:H719"/>
    <mergeCell ref="C720:F720"/>
    <mergeCell ref="G720:H720"/>
    <mergeCell ref="C721:F721"/>
    <mergeCell ref="G721:H721"/>
    <mergeCell ref="C722:F722"/>
    <mergeCell ref="G722:H722"/>
    <mergeCell ref="C723:F723"/>
    <mergeCell ref="G723:H723"/>
    <mergeCell ref="C724:F724"/>
    <mergeCell ref="G724:H724"/>
    <mergeCell ref="C725:F725"/>
    <mergeCell ref="G725:H725"/>
    <mergeCell ref="C726:F726"/>
    <mergeCell ref="G726:H726"/>
    <mergeCell ref="C727:F727"/>
    <mergeCell ref="G727:H727"/>
    <mergeCell ref="C728:F728"/>
    <mergeCell ref="G728:H728"/>
    <mergeCell ref="C729:F729"/>
    <mergeCell ref="G729:H729"/>
    <mergeCell ref="C730:F730"/>
    <mergeCell ref="G730:H730"/>
    <mergeCell ref="C731:F731"/>
    <mergeCell ref="G731:H731"/>
    <mergeCell ref="C732:F732"/>
    <mergeCell ref="G732:H732"/>
    <mergeCell ref="C733:F733"/>
    <mergeCell ref="G733:H733"/>
    <mergeCell ref="C734:F734"/>
    <mergeCell ref="G734:H734"/>
    <mergeCell ref="C735:F735"/>
    <mergeCell ref="G735:H735"/>
    <mergeCell ref="C736:F736"/>
    <mergeCell ref="G736:H736"/>
    <mergeCell ref="C737:F737"/>
    <mergeCell ref="G737:H737"/>
    <mergeCell ref="C738:F738"/>
    <mergeCell ref="G738:H738"/>
    <mergeCell ref="C739:F739"/>
    <mergeCell ref="G739:H739"/>
    <mergeCell ref="C740:F740"/>
    <mergeCell ref="G740:H740"/>
    <mergeCell ref="C741:F741"/>
    <mergeCell ref="G741:H741"/>
    <mergeCell ref="C742:F742"/>
    <mergeCell ref="G742:H742"/>
    <mergeCell ref="C743:F743"/>
    <mergeCell ref="G743:H743"/>
    <mergeCell ref="C744:F744"/>
    <mergeCell ref="G744:H744"/>
    <mergeCell ref="C745:F745"/>
    <mergeCell ref="G745:H745"/>
    <mergeCell ref="C746:F746"/>
    <mergeCell ref="G746:H746"/>
    <mergeCell ref="C747:F747"/>
    <mergeCell ref="G747:H747"/>
    <mergeCell ref="C748:F748"/>
    <mergeCell ref="G748:H748"/>
    <mergeCell ref="A750:K750"/>
    <mergeCell ref="A751:K751"/>
    <mergeCell ref="B752:G752"/>
    <mergeCell ref="H752:K752"/>
    <mergeCell ref="B753:K753"/>
    <mergeCell ref="C754:F754"/>
    <mergeCell ref="G754:H754"/>
    <mergeCell ref="C755:F755"/>
    <mergeCell ref="G755:H755"/>
    <mergeCell ref="C756:F756"/>
    <mergeCell ref="G756:H756"/>
    <mergeCell ref="C757:F757"/>
    <mergeCell ref="G757:H757"/>
    <mergeCell ref="C758:F758"/>
    <mergeCell ref="G758:H758"/>
    <mergeCell ref="C759:F759"/>
    <mergeCell ref="G759:H759"/>
    <mergeCell ref="C760:F760"/>
    <mergeCell ref="G760:H760"/>
    <mergeCell ref="C761:F761"/>
    <mergeCell ref="G761:H761"/>
    <mergeCell ref="C762:F762"/>
    <mergeCell ref="G762:H762"/>
    <mergeCell ref="C763:F763"/>
    <mergeCell ref="G763:H763"/>
    <mergeCell ref="C764:F764"/>
    <mergeCell ref="G764:H764"/>
    <mergeCell ref="C765:F765"/>
    <mergeCell ref="G765:H765"/>
    <mergeCell ref="C766:F766"/>
    <mergeCell ref="G766:H766"/>
    <mergeCell ref="C767:F767"/>
    <mergeCell ref="G767:H767"/>
    <mergeCell ref="C768:F768"/>
    <mergeCell ref="G768:H768"/>
    <mergeCell ref="C769:F769"/>
    <mergeCell ref="G769:H769"/>
    <mergeCell ref="C770:F770"/>
    <mergeCell ref="G770:H770"/>
    <mergeCell ref="C771:F771"/>
    <mergeCell ref="G771:H771"/>
    <mergeCell ref="C772:F772"/>
    <mergeCell ref="G772:H772"/>
    <mergeCell ref="C773:F773"/>
    <mergeCell ref="G773:H773"/>
    <mergeCell ref="C774:F774"/>
    <mergeCell ref="G774:H774"/>
    <mergeCell ref="C775:F775"/>
    <mergeCell ref="G775:H775"/>
    <mergeCell ref="C776:F776"/>
    <mergeCell ref="G776:H776"/>
    <mergeCell ref="C777:F777"/>
    <mergeCell ref="G777:H777"/>
    <mergeCell ref="C778:F778"/>
    <mergeCell ref="G778:H778"/>
    <mergeCell ref="C779:F779"/>
    <mergeCell ref="G779:H779"/>
    <mergeCell ref="C780:F780"/>
    <mergeCell ref="G780:H780"/>
    <mergeCell ref="C781:F781"/>
    <mergeCell ref="G781:H781"/>
    <mergeCell ref="C782:F782"/>
    <mergeCell ref="G782:H782"/>
    <mergeCell ref="C783:F783"/>
    <mergeCell ref="G783:H783"/>
    <mergeCell ref="C784:F784"/>
    <mergeCell ref="G784:H784"/>
    <mergeCell ref="A786:K786"/>
    <mergeCell ref="A787:K787"/>
    <mergeCell ref="B788:G788"/>
    <mergeCell ref="H788:K788"/>
    <mergeCell ref="B789:K789"/>
    <mergeCell ref="C790:F790"/>
    <mergeCell ref="G790:H790"/>
    <mergeCell ref="C791:F791"/>
    <mergeCell ref="G791:H791"/>
    <mergeCell ref="C792:F792"/>
    <mergeCell ref="G792:H792"/>
    <mergeCell ref="C793:F793"/>
    <mergeCell ref="G793:H793"/>
    <mergeCell ref="C794:F794"/>
    <mergeCell ref="G794:H794"/>
    <mergeCell ref="C795:F795"/>
    <mergeCell ref="G795:H795"/>
    <mergeCell ref="C796:F796"/>
    <mergeCell ref="G796:H796"/>
    <mergeCell ref="C797:F797"/>
    <mergeCell ref="G797:H797"/>
    <mergeCell ref="C798:F798"/>
    <mergeCell ref="G798:H798"/>
    <mergeCell ref="C799:F799"/>
    <mergeCell ref="G799:H799"/>
    <mergeCell ref="C800:F800"/>
    <mergeCell ref="G800:H800"/>
    <mergeCell ref="C801:F801"/>
    <mergeCell ref="G801:H801"/>
    <mergeCell ref="C802:F802"/>
    <mergeCell ref="G802:H802"/>
    <mergeCell ref="C803:F803"/>
    <mergeCell ref="G803:H803"/>
    <mergeCell ref="C804:F804"/>
    <mergeCell ref="G804:H804"/>
    <mergeCell ref="C805:F805"/>
    <mergeCell ref="G805:H805"/>
    <mergeCell ref="C806:F806"/>
    <mergeCell ref="G806:H806"/>
    <mergeCell ref="C807:F807"/>
    <mergeCell ref="G807:H807"/>
    <mergeCell ref="C808:F808"/>
    <mergeCell ref="G808:H808"/>
    <mergeCell ref="C809:F809"/>
    <mergeCell ref="G809:H809"/>
    <mergeCell ref="C810:F810"/>
    <mergeCell ref="G810:H810"/>
    <mergeCell ref="C811:F811"/>
    <mergeCell ref="G811:H811"/>
    <mergeCell ref="C812:F812"/>
    <mergeCell ref="G812:H812"/>
    <mergeCell ref="C813:F813"/>
    <mergeCell ref="G813:H813"/>
    <mergeCell ref="C814:F814"/>
    <mergeCell ref="G814:H814"/>
    <mergeCell ref="C815:F815"/>
    <mergeCell ref="G815:H815"/>
    <mergeCell ref="C816:F816"/>
    <mergeCell ref="G816:H816"/>
    <mergeCell ref="C817:F817"/>
    <mergeCell ref="G817:H817"/>
    <mergeCell ref="C818:F818"/>
    <mergeCell ref="G818:H818"/>
    <mergeCell ref="C819:F819"/>
    <mergeCell ref="G819:H819"/>
    <mergeCell ref="C820:F820"/>
    <mergeCell ref="G820:H820"/>
    <mergeCell ref="C821:F821"/>
    <mergeCell ref="G821:H821"/>
    <mergeCell ref="A823:K823"/>
    <mergeCell ref="A824:K824"/>
    <mergeCell ref="B825:G825"/>
    <mergeCell ref="H825:K825"/>
    <mergeCell ref="B826:K826"/>
    <mergeCell ref="C827:F827"/>
    <mergeCell ref="G827:H827"/>
    <mergeCell ref="C828:F828"/>
    <mergeCell ref="G828:H828"/>
    <mergeCell ref="C829:F829"/>
    <mergeCell ref="G829:H829"/>
    <mergeCell ref="C830:F830"/>
    <mergeCell ref="G830:H830"/>
    <mergeCell ref="C831:F831"/>
    <mergeCell ref="G831:H831"/>
    <mergeCell ref="C832:F832"/>
    <mergeCell ref="G832:H832"/>
    <mergeCell ref="C833:F833"/>
    <mergeCell ref="G833:H833"/>
    <mergeCell ref="C834:F834"/>
    <mergeCell ref="G834:H834"/>
    <mergeCell ref="C835:F835"/>
    <mergeCell ref="G835:H835"/>
    <mergeCell ref="C836:F836"/>
    <mergeCell ref="G836:H836"/>
    <mergeCell ref="C837:F837"/>
    <mergeCell ref="G837:H837"/>
    <mergeCell ref="C838:F838"/>
    <mergeCell ref="G838:H838"/>
    <mergeCell ref="C839:F839"/>
    <mergeCell ref="G839:H839"/>
    <mergeCell ref="C840:F840"/>
    <mergeCell ref="G840:H840"/>
    <mergeCell ref="C841:F841"/>
    <mergeCell ref="G841:H841"/>
    <mergeCell ref="C842:F842"/>
    <mergeCell ref="G842:H842"/>
    <mergeCell ref="C843:F843"/>
    <mergeCell ref="G843:H843"/>
    <mergeCell ref="C844:F844"/>
    <mergeCell ref="G844:H844"/>
    <mergeCell ref="C845:F845"/>
    <mergeCell ref="G845:H845"/>
    <mergeCell ref="C846:F846"/>
    <mergeCell ref="G846:H846"/>
    <mergeCell ref="C847:F847"/>
    <mergeCell ref="G847:H847"/>
    <mergeCell ref="C848:F848"/>
    <mergeCell ref="G848:H848"/>
    <mergeCell ref="C849:F849"/>
    <mergeCell ref="G849:H849"/>
    <mergeCell ref="C850:F850"/>
    <mergeCell ref="G850:H850"/>
    <mergeCell ref="C851:F851"/>
    <mergeCell ref="G851:H851"/>
    <mergeCell ref="C852:F852"/>
    <mergeCell ref="G852:H852"/>
    <mergeCell ref="C853:F853"/>
    <mergeCell ref="G853:H853"/>
    <mergeCell ref="C854:F854"/>
    <mergeCell ref="G854:H854"/>
    <mergeCell ref="C855:F855"/>
    <mergeCell ref="G855:H855"/>
    <mergeCell ref="C856:F856"/>
    <mergeCell ref="G856:H856"/>
    <mergeCell ref="C857:F857"/>
    <mergeCell ref="G857:H857"/>
    <mergeCell ref="C858:F858"/>
    <mergeCell ref="G858:H858"/>
    <mergeCell ref="A860:K860"/>
    <mergeCell ref="A861:K861"/>
    <mergeCell ref="B862:G862"/>
    <mergeCell ref="H862:K862"/>
    <mergeCell ref="B863:K863"/>
    <mergeCell ref="C864:F864"/>
    <mergeCell ref="G864:H864"/>
    <mergeCell ref="C865:F865"/>
    <mergeCell ref="G865:H865"/>
    <mergeCell ref="C866:F866"/>
    <mergeCell ref="G866:H866"/>
    <mergeCell ref="C867:F867"/>
    <mergeCell ref="G867:H867"/>
    <mergeCell ref="C868:F868"/>
    <mergeCell ref="G868:H868"/>
    <mergeCell ref="C869:F869"/>
    <mergeCell ref="G869:H869"/>
    <mergeCell ref="C870:F870"/>
    <mergeCell ref="G870:H870"/>
    <mergeCell ref="C871:F871"/>
    <mergeCell ref="G871:H871"/>
    <mergeCell ref="C872:F872"/>
    <mergeCell ref="G872:H872"/>
    <mergeCell ref="C873:F873"/>
    <mergeCell ref="G873:H873"/>
    <mergeCell ref="C874:F874"/>
    <mergeCell ref="G874:H874"/>
    <mergeCell ref="C875:F875"/>
    <mergeCell ref="G875:H875"/>
    <mergeCell ref="C876:F876"/>
    <mergeCell ref="G876:H876"/>
    <mergeCell ref="C877:F877"/>
    <mergeCell ref="G877:H877"/>
    <mergeCell ref="C878:F878"/>
    <mergeCell ref="G878:H878"/>
    <mergeCell ref="C879:F879"/>
    <mergeCell ref="G879:H879"/>
    <mergeCell ref="C880:F880"/>
    <mergeCell ref="G880:H880"/>
    <mergeCell ref="C881:F881"/>
    <mergeCell ref="G881:H881"/>
    <mergeCell ref="C882:F882"/>
    <mergeCell ref="G882:H882"/>
    <mergeCell ref="C883:F883"/>
    <mergeCell ref="G883:H883"/>
    <mergeCell ref="C884:F884"/>
    <mergeCell ref="G884:H884"/>
    <mergeCell ref="C885:F885"/>
    <mergeCell ref="G885:H885"/>
    <mergeCell ref="C886:F886"/>
    <mergeCell ref="G886:H886"/>
    <mergeCell ref="C887:F887"/>
    <mergeCell ref="G887:H887"/>
    <mergeCell ref="C888:F888"/>
    <mergeCell ref="G888:H888"/>
    <mergeCell ref="C889:F889"/>
    <mergeCell ref="G889:H889"/>
    <mergeCell ref="C890:F890"/>
    <mergeCell ref="G890:H890"/>
    <mergeCell ref="C891:F891"/>
    <mergeCell ref="G891:H891"/>
    <mergeCell ref="C892:F892"/>
    <mergeCell ref="G892:H892"/>
    <mergeCell ref="C893:F893"/>
    <mergeCell ref="G893:H893"/>
    <mergeCell ref="C894:F894"/>
    <mergeCell ref="G894:H894"/>
    <mergeCell ref="C895:F895"/>
    <mergeCell ref="G895:H895"/>
    <mergeCell ref="A897:K897"/>
    <mergeCell ref="A898:K898"/>
    <mergeCell ref="B899:G899"/>
    <mergeCell ref="H899:K899"/>
    <mergeCell ref="B900:K900"/>
    <mergeCell ref="C901:F901"/>
    <mergeCell ref="G901:H901"/>
    <mergeCell ref="C902:F902"/>
    <mergeCell ref="G902:H902"/>
    <mergeCell ref="C903:F903"/>
    <mergeCell ref="G903:H903"/>
    <mergeCell ref="C904:F904"/>
    <mergeCell ref="G904:H904"/>
    <mergeCell ref="C905:F905"/>
    <mergeCell ref="G905:H905"/>
    <mergeCell ref="C906:F906"/>
    <mergeCell ref="G906:H906"/>
    <mergeCell ref="C907:F907"/>
    <mergeCell ref="G907:H907"/>
    <mergeCell ref="C908:F908"/>
    <mergeCell ref="G908:H908"/>
    <mergeCell ref="C909:F909"/>
    <mergeCell ref="G909:H909"/>
    <mergeCell ref="C910:F910"/>
    <mergeCell ref="G910:H910"/>
    <mergeCell ref="C911:F911"/>
    <mergeCell ref="G911:H911"/>
    <mergeCell ref="C912:F912"/>
    <mergeCell ref="G912:H912"/>
    <mergeCell ref="C913:F913"/>
    <mergeCell ref="G913:H913"/>
    <mergeCell ref="C914:F914"/>
    <mergeCell ref="G914:H914"/>
    <mergeCell ref="C915:F915"/>
    <mergeCell ref="G915:H915"/>
    <mergeCell ref="C916:F916"/>
    <mergeCell ref="G916:H916"/>
    <mergeCell ref="C917:F917"/>
    <mergeCell ref="G917:H917"/>
    <mergeCell ref="C918:F918"/>
    <mergeCell ref="G918:H918"/>
    <mergeCell ref="C919:F919"/>
    <mergeCell ref="G919:H919"/>
    <mergeCell ref="C920:F920"/>
    <mergeCell ref="G920:H920"/>
    <mergeCell ref="C921:F921"/>
    <mergeCell ref="G921:H921"/>
    <mergeCell ref="C922:F922"/>
    <mergeCell ref="G922:H922"/>
    <mergeCell ref="C923:F923"/>
    <mergeCell ref="G923:H923"/>
    <mergeCell ref="C924:F924"/>
    <mergeCell ref="G924:H924"/>
    <mergeCell ref="C925:F925"/>
    <mergeCell ref="G925:H925"/>
    <mergeCell ref="C926:F926"/>
    <mergeCell ref="G926:H926"/>
    <mergeCell ref="C927:F927"/>
    <mergeCell ref="G927:H927"/>
    <mergeCell ref="C928:F928"/>
    <mergeCell ref="G928:H928"/>
    <mergeCell ref="C929:F929"/>
    <mergeCell ref="G929:H929"/>
    <mergeCell ref="C930:F930"/>
    <mergeCell ref="G930:H930"/>
    <mergeCell ref="C931:F931"/>
    <mergeCell ref="G931:H931"/>
    <mergeCell ref="C932:F932"/>
    <mergeCell ref="G932:H932"/>
    <mergeCell ref="A934:K934"/>
    <mergeCell ref="A935:K935"/>
    <mergeCell ref="B936:G936"/>
    <mergeCell ref="H936:K936"/>
    <mergeCell ref="B937:K937"/>
    <mergeCell ref="C938:F938"/>
    <mergeCell ref="G938:H938"/>
    <mergeCell ref="C939:F939"/>
    <mergeCell ref="G939:H939"/>
    <mergeCell ref="C940:F940"/>
    <mergeCell ref="G940:H940"/>
    <mergeCell ref="C941:F941"/>
    <mergeCell ref="G941:H941"/>
    <mergeCell ref="C942:F942"/>
    <mergeCell ref="G942:H942"/>
    <mergeCell ref="C943:F943"/>
    <mergeCell ref="G943:H943"/>
    <mergeCell ref="C944:F944"/>
    <mergeCell ref="G944:H944"/>
    <mergeCell ref="C945:F945"/>
    <mergeCell ref="G945:H945"/>
    <mergeCell ref="C946:F946"/>
    <mergeCell ref="G946:H946"/>
    <mergeCell ref="C947:F947"/>
    <mergeCell ref="G947:H947"/>
    <mergeCell ref="C948:F948"/>
    <mergeCell ref="G948:H948"/>
    <mergeCell ref="C949:F949"/>
    <mergeCell ref="G949:H949"/>
    <mergeCell ref="C950:F950"/>
    <mergeCell ref="G950:H950"/>
    <mergeCell ref="C951:F951"/>
    <mergeCell ref="G951:H951"/>
    <mergeCell ref="C952:F952"/>
    <mergeCell ref="G952:H952"/>
    <mergeCell ref="C953:F953"/>
    <mergeCell ref="G953:H953"/>
    <mergeCell ref="C954:F954"/>
    <mergeCell ref="G954:H954"/>
    <mergeCell ref="C955:F955"/>
    <mergeCell ref="G955:H955"/>
    <mergeCell ref="C956:F956"/>
    <mergeCell ref="G956:H956"/>
    <mergeCell ref="C957:F957"/>
    <mergeCell ref="G957:H957"/>
    <mergeCell ref="C958:F958"/>
    <mergeCell ref="G958:H958"/>
    <mergeCell ref="C959:F959"/>
    <mergeCell ref="G959:H959"/>
    <mergeCell ref="C960:F960"/>
    <mergeCell ref="G960:H960"/>
    <mergeCell ref="C961:F961"/>
    <mergeCell ref="G961:H961"/>
    <mergeCell ref="C962:F962"/>
    <mergeCell ref="G962:H962"/>
    <mergeCell ref="C963:F963"/>
    <mergeCell ref="G963:H963"/>
    <mergeCell ref="C964:F964"/>
    <mergeCell ref="G964:H964"/>
    <mergeCell ref="C965:F965"/>
    <mergeCell ref="G965:H965"/>
    <mergeCell ref="C966:F966"/>
    <mergeCell ref="G966:H966"/>
    <mergeCell ref="C967:F967"/>
    <mergeCell ref="G967:H967"/>
    <mergeCell ref="C968:F968"/>
    <mergeCell ref="G968:H968"/>
    <mergeCell ref="C969:F969"/>
    <mergeCell ref="G969:H969"/>
    <mergeCell ref="A971:K971"/>
    <mergeCell ref="A972:K972"/>
    <mergeCell ref="B973:G973"/>
    <mergeCell ref="H973:K973"/>
    <mergeCell ref="B974:K974"/>
    <mergeCell ref="C975:F975"/>
    <mergeCell ref="G975:H975"/>
    <mergeCell ref="C976:F976"/>
    <mergeCell ref="G976:H976"/>
    <mergeCell ref="C977:F977"/>
    <mergeCell ref="G977:H977"/>
    <mergeCell ref="C978:F978"/>
    <mergeCell ref="G978:H978"/>
    <mergeCell ref="C979:F979"/>
    <mergeCell ref="G979:H979"/>
    <mergeCell ref="C980:F980"/>
    <mergeCell ref="G980:H980"/>
    <mergeCell ref="C981:F981"/>
    <mergeCell ref="G981:H981"/>
    <mergeCell ref="C982:F982"/>
    <mergeCell ref="G982:H982"/>
    <mergeCell ref="C983:F983"/>
    <mergeCell ref="G983:H983"/>
    <mergeCell ref="C984:F984"/>
    <mergeCell ref="G984:H984"/>
    <mergeCell ref="C985:F985"/>
    <mergeCell ref="G985:H985"/>
    <mergeCell ref="C986:F986"/>
    <mergeCell ref="G986:H986"/>
    <mergeCell ref="C987:F987"/>
    <mergeCell ref="G987:H987"/>
    <mergeCell ref="C988:F988"/>
    <mergeCell ref="G988:H988"/>
    <mergeCell ref="C989:F989"/>
    <mergeCell ref="G989:H989"/>
    <mergeCell ref="C990:F990"/>
    <mergeCell ref="G990:H990"/>
    <mergeCell ref="C991:F991"/>
    <mergeCell ref="G991:H991"/>
    <mergeCell ref="C992:F992"/>
    <mergeCell ref="G992:H992"/>
    <mergeCell ref="C993:F993"/>
    <mergeCell ref="G993:H993"/>
    <mergeCell ref="C994:F994"/>
    <mergeCell ref="G994:H994"/>
    <mergeCell ref="C995:F995"/>
    <mergeCell ref="G995:H995"/>
    <mergeCell ref="C996:F996"/>
    <mergeCell ref="G996:H996"/>
    <mergeCell ref="C997:F997"/>
    <mergeCell ref="G997:H997"/>
    <mergeCell ref="C998:F998"/>
    <mergeCell ref="G998:H998"/>
    <mergeCell ref="C999:F999"/>
    <mergeCell ref="G999:H999"/>
    <mergeCell ref="C1000:F1000"/>
    <mergeCell ref="G1000:H1000"/>
    <mergeCell ref="C1001:F1001"/>
    <mergeCell ref="G1001:H1001"/>
    <mergeCell ref="C1002:F1002"/>
    <mergeCell ref="G1002:H1002"/>
    <mergeCell ref="C1003:F1003"/>
    <mergeCell ref="G1003:H1003"/>
    <mergeCell ref="C1004:F1004"/>
    <mergeCell ref="G1004:H1004"/>
    <mergeCell ref="C1005:F1005"/>
    <mergeCell ref="G1005:H1005"/>
    <mergeCell ref="C1006:F1006"/>
    <mergeCell ref="G1006:H1006"/>
    <mergeCell ref="A1008:K1008"/>
    <mergeCell ref="A1009:K1009"/>
    <mergeCell ref="B1010:G1010"/>
    <mergeCell ref="H1010:K1010"/>
    <mergeCell ref="B1011:K1011"/>
    <mergeCell ref="C1012:F1012"/>
    <mergeCell ref="G1012:H1012"/>
    <mergeCell ref="C1013:F1013"/>
    <mergeCell ref="G1013:H1013"/>
    <mergeCell ref="C1014:F1014"/>
    <mergeCell ref="G1014:H1014"/>
    <mergeCell ref="C1015:F1015"/>
    <mergeCell ref="G1015:H1015"/>
    <mergeCell ref="C1016:F1016"/>
    <mergeCell ref="G1016:H1016"/>
    <mergeCell ref="C1017:F1017"/>
    <mergeCell ref="G1017:H1017"/>
    <mergeCell ref="C1018:F1018"/>
    <mergeCell ref="G1018:H1018"/>
    <mergeCell ref="C1019:F1019"/>
    <mergeCell ref="G1019:H1019"/>
    <mergeCell ref="C1020:F1020"/>
    <mergeCell ref="G1020:H1020"/>
    <mergeCell ref="C1021:F1021"/>
    <mergeCell ref="G1021:H1021"/>
    <mergeCell ref="C1022:F1022"/>
    <mergeCell ref="G1022:H1022"/>
    <mergeCell ref="C1023:F1023"/>
    <mergeCell ref="G1023:H1023"/>
    <mergeCell ref="C1024:F1024"/>
    <mergeCell ref="G1024:H1024"/>
    <mergeCell ref="C1025:F1025"/>
    <mergeCell ref="G1025:H1025"/>
    <mergeCell ref="C1026:F1026"/>
    <mergeCell ref="G1026:H1026"/>
    <mergeCell ref="C1027:F1027"/>
    <mergeCell ref="G1027:H1027"/>
    <mergeCell ref="C1028:F1028"/>
    <mergeCell ref="G1028:H1028"/>
    <mergeCell ref="C1029:F1029"/>
    <mergeCell ref="G1029:H1029"/>
    <mergeCell ref="C1030:F1030"/>
    <mergeCell ref="G1030:H1030"/>
    <mergeCell ref="C1031:F1031"/>
    <mergeCell ref="G1031:H1031"/>
    <mergeCell ref="C1032:F1032"/>
    <mergeCell ref="G1032:H1032"/>
    <mergeCell ref="C1033:F1033"/>
    <mergeCell ref="G1033:H1033"/>
    <mergeCell ref="C1034:F1034"/>
    <mergeCell ref="G1034:H1034"/>
    <mergeCell ref="C1035:F1035"/>
    <mergeCell ref="G1035:H1035"/>
    <mergeCell ref="C1036:F1036"/>
    <mergeCell ref="G1036:H1036"/>
    <mergeCell ref="C1037:F1037"/>
    <mergeCell ref="G1037:H1037"/>
    <mergeCell ref="C1038:F1038"/>
    <mergeCell ref="G1038:H1038"/>
    <mergeCell ref="C1039:F1039"/>
    <mergeCell ref="G1039:H1039"/>
    <mergeCell ref="C1040:F1040"/>
    <mergeCell ref="G1040:H1040"/>
    <mergeCell ref="C1041:F1041"/>
    <mergeCell ref="G1041:H1041"/>
    <mergeCell ref="C1042:F1042"/>
    <mergeCell ref="G1042:H1042"/>
    <mergeCell ref="C1043:F1043"/>
    <mergeCell ref="G1043:H1043"/>
    <mergeCell ref="A1045:K1045"/>
    <mergeCell ref="A1046:K1046"/>
    <mergeCell ref="B1047:G1047"/>
    <mergeCell ref="H1047:K1047"/>
    <mergeCell ref="B1048:K1048"/>
    <mergeCell ref="C1049:F1049"/>
    <mergeCell ref="G1049:H1049"/>
    <mergeCell ref="C1050:F1050"/>
    <mergeCell ref="G1050:H1050"/>
    <mergeCell ref="C1051:F1051"/>
    <mergeCell ref="G1051:H1051"/>
    <mergeCell ref="C1052:F1052"/>
    <mergeCell ref="G1052:H1052"/>
    <mergeCell ref="C1053:F1053"/>
    <mergeCell ref="G1053:H1053"/>
    <mergeCell ref="C1054:F1054"/>
    <mergeCell ref="G1054:H1054"/>
    <mergeCell ref="C1055:F1055"/>
    <mergeCell ref="G1055:H1055"/>
    <mergeCell ref="C1056:F1056"/>
    <mergeCell ref="G1056:H1056"/>
    <mergeCell ref="C1057:F1057"/>
    <mergeCell ref="G1057:H1057"/>
    <mergeCell ref="C1058:F1058"/>
    <mergeCell ref="G1058:H1058"/>
    <mergeCell ref="C1059:F1059"/>
    <mergeCell ref="G1059:H1059"/>
    <mergeCell ref="C1060:F1060"/>
    <mergeCell ref="G1060:H1060"/>
    <mergeCell ref="C1061:F1061"/>
    <mergeCell ref="G1061:H1061"/>
    <mergeCell ref="C1062:F1062"/>
    <mergeCell ref="G1062:H1062"/>
    <mergeCell ref="C1063:F1063"/>
    <mergeCell ref="G1063:H1063"/>
    <mergeCell ref="C1064:F1064"/>
    <mergeCell ref="G1064:H1064"/>
    <mergeCell ref="C1065:F1065"/>
    <mergeCell ref="G1065:H1065"/>
    <mergeCell ref="C1066:F1066"/>
    <mergeCell ref="G1066:H1066"/>
    <mergeCell ref="C1067:F1067"/>
    <mergeCell ref="G1067:H1067"/>
    <mergeCell ref="C1068:F1068"/>
    <mergeCell ref="G1068:H1068"/>
    <mergeCell ref="C1069:F1069"/>
    <mergeCell ref="G1069:H1069"/>
    <mergeCell ref="C1070:F1070"/>
    <mergeCell ref="G1070:H1070"/>
    <mergeCell ref="C1071:F1071"/>
    <mergeCell ref="G1071:H1071"/>
    <mergeCell ref="C1072:F1072"/>
    <mergeCell ref="G1072:H1072"/>
    <mergeCell ref="C1073:F1073"/>
    <mergeCell ref="G1073:H1073"/>
    <mergeCell ref="C1074:F1074"/>
    <mergeCell ref="G1074:H1074"/>
    <mergeCell ref="C1075:F1075"/>
    <mergeCell ref="G1075:H1075"/>
    <mergeCell ref="C1076:F1076"/>
    <mergeCell ref="G1076:H1076"/>
    <mergeCell ref="C1077:F1077"/>
    <mergeCell ref="G1077:H1077"/>
    <mergeCell ref="C1078:F1078"/>
    <mergeCell ref="G1078:H1078"/>
    <mergeCell ref="C1079:F1079"/>
    <mergeCell ref="G1079:H1079"/>
    <mergeCell ref="C1080:F1080"/>
    <mergeCell ref="G1080:H1080"/>
    <mergeCell ref="A1082:K1082"/>
    <mergeCell ref="A1083:K1083"/>
    <mergeCell ref="B1084:G1084"/>
    <mergeCell ref="H1084:K1084"/>
    <mergeCell ref="B1085:K1085"/>
    <mergeCell ref="C1086:F1086"/>
    <mergeCell ref="G1086:H1086"/>
    <mergeCell ref="C1087:F1087"/>
    <mergeCell ref="G1087:H1087"/>
    <mergeCell ref="C1088:F1088"/>
    <mergeCell ref="G1088:H1088"/>
    <mergeCell ref="C1089:F1089"/>
    <mergeCell ref="G1089:H1089"/>
    <mergeCell ref="C1090:F1090"/>
    <mergeCell ref="G1090:H1090"/>
    <mergeCell ref="C1091:F1091"/>
    <mergeCell ref="G1091:H1091"/>
    <mergeCell ref="C1092:F1092"/>
    <mergeCell ref="G1092:H1092"/>
    <mergeCell ref="C1093:F1093"/>
    <mergeCell ref="G1093:H1093"/>
    <mergeCell ref="C1094:F1094"/>
    <mergeCell ref="G1094:H1094"/>
    <mergeCell ref="C1095:F1095"/>
    <mergeCell ref="G1095:H1095"/>
    <mergeCell ref="C1096:F1096"/>
    <mergeCell ref="G1096:H1096"/>
    <mergeCell ref="C1097:F1097"/>
    <mergeCell ref="G1097:H1097"/>
    <mergeCell ref="C1098:F1098"/>
    <mergeCell ref="G1098:H1098"/>
    <mergeCell ref="C1099:F1099"/>
    <mergeCell ref="G1099:H1099"/>
    <mergeCell ref="C1100:F1100"/>
    <mergeCell ref="G1100:H1100"/>
    <mergeCell ref="C1101:F1101"/>
    <mergeCell ref="G1101:H1101"/>
    <mergeCell ref="C1102:F1102"/>
    <mergeCell ref="G1102:H1102"/>
    <mergeCell ref="C1103:F1103"/>
    <mergeCell ref="G1103:H1103"/>
    <mergeCell ref="C1104:F1104"/>
    <mergeCell ref="G1104:H1104"/>
    <mergeCell ref="C1105:F1105"/>
    <mergeCell ref="G1105:H1105"/>
    <mergeCell ref="C1106:F1106"/>
    <mergeCell ref="G1106:H1106"/>
    <mergeCell ref="C1107:F1107"/>
    <mergeCell ref="G1107:H1107"/>
    <mergeCell ref="C1108:F1108"/>
    <mergeCell ref="G1108:H1108"/>
    <mergeCell ref="C1109:F1109"/>
    <mergeCell ref="G1109:H1109"/>
    <mergeCell ref="C1110:F1110"/>
    <mergeCell ref="G1110:H1110"/>
    <mergeCell ref="C1111:F1111"/>
    <mergeCell ref="G1111:H1111"/>
    <mergeCell ref="C1112:F1112"/>
    <mergeCell ref="G1112:H1112"/>
    <mergeCell ref="C1113:F1113"/>
    <mergeCell ref="G1113:H1113"/>
    <mergeCell ref="C1114:F1114"/>
    <mergeCell ref="G1114:H1114"/>
    <mergeCell ref="C1115:F1115"/>
    <mergeCell ref="G1115:H1115"/>
    <mergeCell ref="C1116:F1116"/>
    <mergeCell ref="G1116:H1116"/>
    <mergeCell ref="C1117:F1117"/>
    <mergeCell ref="G1117:H1117"/>
    <mergeCell ref="A1119:K1119"/>
    <mergeCell ref="A1120:K1120"/>
    <mergeCell ref="B1121:G1121"/>
    <mergeCell ref="H1121:K1121"/>
    <mergeCell ref="B1122:K1122"/>
    <mergeCell ref="C1123:F1123"/>
    <mergeCell ref="G1123:H1123"/>
    <mergeCell ref="C1124:F1124"/>
    <mergeCell ref="G1124:H1124"/>
    <mergeCell ref="C1125:F1125"/>
    <mergeCell ref="G1125:H1125"/>
    <mergeCell ref="C1126:F1126"/>
    <mergeCell ref="G1126:H1126"/>
    <mergeCell ref="C1127:F1127"/>
    <mergeCell ref="G1127:H1127"/>
    <mergeCell ref="C1128:F1128"/>
    <mergeCell ref="G1128:H1128"/>
    <mergeCell ref="C1129:F1129"/>
    <mergeCell ref="G1129:H1129"/>
    <mergeCell ref="C1130:F1130"/>
    <mergeCell ref="G1130:H1130"/>
    <mergeCell ref="C1131:F1131"/>
    <mergeCell ref="G1131:H1131"/>
    <mergeCell ref="C1132:F1132"/>
    <mergeCell ref="G1132:H1132"/>
    <mergeCell ref="C1133:F1133"/>
    <mergeCell ref="G1133:H1133"/>
    <mergeCell ref="C1134:F1134"/>
    <mergeCell ref="G1134:H1134"/>
    <mergeCell ref="C1135:F1135"/>
    <mergeCell ref="G1135:H1135"/>
    <mergeCell ref="C1136:F1136"/>
    <mergeCell ref="G1136:H1136"/>
    <mergeCell ref="C1137:F1137"/>
    <mergeCell ref="G1137:H1137"/>
    <mergeCell ref="C1138:F1138"/>
    <mergeCell ref="G1138:H1138"/>
    <mergeCell ref="C1139:F1139"/>
    <mergeCell ref="G1139:H1139"/>
    <mergeCell ref="C1140:F1140"/>
    <mergeCell ref="G1140:H1140"/>
    <mergeCell ref="C1141:F1141"/>
    <mergeCell ref="G1141:H1141"/>
    <mergeCell ref="C1142:F1142"/>
    <mergeCell ref="G1142:H1142"/>
    <mergeCell ref="C1143:F1143"/>
    <mergeCell ref="G1143:H1143"/>
    <mergeCell ref="C1144:F1144"/>
    <mergeCell ref="G1144:H1144"/>
    <mergeCell ref="C1145:F1145"/>
    <mergeCell ref="G1145:H1145"/>
    <mergeCell ref="C1146:F1146"/>
    <mergeCell ref="G1146:H1146"/>
    <mergeCell ref="C1147:F1147"/>
    <mergeCell ref="G1147:H1147"/>
    <mergeCell ref="C1148:F1148"/>
    <mergeCell ref="G1148:H1148"/>
    <mergeCell ref="C1149:F1149"/>
    <mergeCell ref="G1149:H1149"/>
    <mergeCell ref="C1150:F1150"/>
    <mergeCell ref="G1150:H1150"/>
    <mergeCell ref="C1151:F1151"/>
    <mergeCell ref="G1151:H1151"/>
    <mergeCell ref="C1152:F1152"/>
    <mergeCell ref="G1152:H1152"/>
    <mergeCell ref="C1153:F1153"/>
    <mergeCell ref="G1153:H1153"/>
    <mergeCell ref="C1154:F1154"/>
    <mergeCell ref="G1154:H1154"/>
    <mergeCell ref="A1156:K1156"/>
    <mergeCell ref="A1157:K1157"/>
    <mergeCell ref="B1158:G1158"/>
    <mergeCell ref="H1158:K1158"/>
    <mergeCell ref="B1159:K1159"/>
    <mergeCell ref="C1160:F1160"/>
    <mergeCell ref="G1160:H1160"/>
    <mergeCell ref="C1161:F1161"/>
    <mergeCell ref="G1161:H1161"/>
    <mergeCell ref="C1162:F1162"/>
    <mergeCell ref="G1162:H1162"/>
    <mergeCell ref="C1163:F1163"/>
    <mergeCell ref="G1163:H1163"/>
    <mergeCell ref="C1164:F1164"/>
    <mergeCell ref="G1164:H1164"/>
    <mergeCell ref="C1165:F1165"/>
    <mergeCell ref="G1165:H1165"/>
    <mergeCell ref="C1166:F1166"/>
    <mergeCell ref="G1166:H1166"/>
    <mergeCell ref="C1167:F1167"/>
    <mergeCell ref="G1167:H1167"/>
    <mergeCell ref="C1168:F1168"/>
    <mergeCell ref="G1168:H1168"/>
    <mergeCell ref="C1169:F1169"/>
    <mergeCell ref="G1169:H1169"/>
    <mergeCell ref="C1170:F1170"/>
    <mergeCell ref="G1170:H1170"/>
    <mergeCell ref="C1171:F1171"/>
    <mergeCell ref="G1171:H1171"/>
    <mergeCell ref="C1172:F1172"/>
    <mergeCell ref="G1172:H1172"/>
    <mergeCell ref="C1173:F1173"/>
    <mergeCell ref="G1173:H1173"/>
    <mergeCell ref="C1174:F1174"/>
    <mergeCell ref="G1174:H1174"/>
    <mergeCell ref="C1175:F1175"/>
    <mergeCell ref="G1175:H1175"/>
    <mergeCell ref="C1176:F1176"/>
    <mergeCell ref="G1176:H1176"/>
    <mergeCell ref="C1177:F1177"/>
    <mergeCell ref="G1177:H1177"/>
    <mergeCell ref="C1178:F1178"/>
    <mergeCell ref="G1178:H1178"/>
    <mergeCell ref="C1179:F1179"/>
    <mergeCell ref="G1179:H1179"/>
    <mergeCell ref="C1180:F1180"/>
    <mergeCell ref="G1180:H1180"/>
    <mergeCell ref="C1181:F1181"/>
    <mergeCell ref="G1181:H1181"/>
    <mergeCell ref="C1182:F1182"/>
    <mergeCell ref="G1182:H1182"/>
    <mergeCell ref="C1183:F1183"/>
    <mergeCell ref="G1183:H1183"/>
    <mergeCell ref="C1184:F1184"/>
    <mergeCell ref="G1184:H1184"/>
    <mergeCell ref="C1185:F1185"/>
    <mergeCell ref="G1185:H1185"/>
    <mergeCell ref="C1186:F1186"/>
    <mergeCell ref="G1186:H1186"/>
    <mergeCell ref="C1187:F1187"/>
    <mergeCell ref="G1187:H1187"/>
    <mergeCell ref="C1188:F1188"/>
    <mergeCell ref="G1188:H1188"/>
    <mergeCell ref="C1189:F1189"/>
    <mergeCell ref="G1189:H1189"/>
    <mergeCell ref="C1190:F1190"/>
    <mergeCell ref="G1190:H1190"/>
    <mergeCell ref="C1191:F1191"/>
    <mergeCell ref="G1191:H1191"/>
    <mergeCell ref="A1193:K1193"/>
    <mergeCell ref="A1194:K1194"/>
    <mergeCell ref="B1195:G1195"/>
    <mergeCell ref="H1195:K1195"/>
    <mergeCell ref="B1196:K1196"/>
    <mergeCell ref="C1197:F1197"/>
    <mergeCell ref="G1197:H1197"/>
    <mergeCell ref="C1198:F1198"/>
    <mergeCell ref="G1198:H1198"/>
    <mergeCell ref="C1199:F1199"/>
    <mergeCell ref="G1199:H1199"/>
    <mergeCell ref="C1200:F1200"/>
    <mergeCell ref="G1200:H1200"/>
    <mergeCell ref="C1201:F1201"/>
    <mergeCell ref="G1201:H1201"/>
    <mergeCell ref="C1202:F1202"/>
    <mergeCell ref="G1202:H1202"/>
    <mergeCell ref="C1203:F1203"/>
    <mergeCell ref="G1203:H1203"/>
    <mergeCell ref="C1204:F1204"/>
    <mergeCell ref="G1204:H1204"/>
    <mergeCell ref="C1205:F1205"/>
    <mergeCell ref="G1205:H1205"/>
    <mergeCell ref="C1206:F1206"/>
    <mergeCell ref="G1206:H1206"/>
    <mergeCell ref="C1207:F1207"/>
    <mergeCell ref="G1207:H1207"/>
    <mergeCell ref="C1208:F1208"/>
    <mergeCell ref="G1208:H1208"/>
    <mergeCell ref="C1209:F1209"/>
    <mergeCell ref="G1209:H1209"/>
    <mergeCell ref="C1210:F1210"/>
    <mergeCell ref="G1210:H1210"/>
    <mergeCell ref="C1211:F1211"/>
    <mergeCell ref="G1211:H1211"/>
    <mergeCell ref="C1212:F1212"/>
    <mergeCell ref="G1212:H1212"/>
    <mergeCell ref="C1213:F1213"/>
    <mergeCell ref="G1213:H1213"/>
    <mergeCell ref="C1214:F1214"/>
    <mergeCell ref="G1214:H1214"/>
    <mergeCell ref="C1215:F1215"/>
    <mergeCell ref="G1215:H1215"/>
    <mergeCell ref="C1216:F1216"/>
    <mergeCell ref="G1216:H1216"/>
    <mergeCell ref="C1217:F1217"/>
    <mergeCell ref="G1217:H1217"/>
    <mergeCell ref="C1218:F1218"/>
    <mergeCell ref="G1218:H1218"/>
    <mergeCell ref="C1219:F1219"/>
    <mergeCell ref="G1219:H1219"/>
    <mergeCell ref="C1220:F1220"/>
    <mergeCell ref="G1220:H1220"/>
    <mergeCell ref="C1221:F1221"/>
    <mergeCell ref="G1221:H1221"/>
    <mergeCell ref="C1222:F1222"/>
    <mergeCell ref="G1222:H1222"/>
    <mergeCell ref="C1223:F1223"/>
    <mergeCell ref="G1223:H1223"/>
    <mergeCell ref="C1224:F1224"/>
    <mergeCell ref="G1224:H1224"/>
    <mergeCell ref="C1225:F1225"/>
    <mergeCell ref="G1225:H1225"/>
    <mergeCell ref="C1226:F1226"/>
    <mergeCell ref="G1226:H1226"/>
    <mergeCell ref="C1227:F1227"/>
    <mergeCell ref="G1227:H1227"/>
    <mergeCell ref="A1229:K1229"/>
    <mergeCell ref="A1230:K1230"/>
    <mergeCell ref="B1231:G1231"/>
    <mergeCell ref="H1231:K1231"/>
    <mergeCell ref="B1232:K1232"/>
    <mergeCell ref="C1233:F1233"/>
    <mergeCell ref="G1233:H1233"/>
    <mergeCell ref="C1234:F1234"/>
    <mergeCell ref="G1234:H1234"/>
    <mergeCell ref="C1235:F1235"/>
    <mergeCell ref="G1235:H1235"/>
    <mergeCell ref="C1236:F1236"/>
    <mergeCell ref="G1236:H1236"/>
    <mergeCell ref="C1237:F1237"/>
    <mergeCell ref="G1237:H1237"/>
    <mergeCell ref="C1238:F1238"/>
    <mergeCell ref="G1238:H1238"/>
    <mergeCell ref="C1239:F1239"/>
    <mergeCell ref="G1239:H1239"/>
    <mergeCell ref="C1240:F1240"/>
    <mergeCell ref="G1240:H1240"/>
    <mergeCell ref="C1241:F1241"/>
    <mergeCell ref="G1241:H1241"/>
    <mergeCell ref="C1242:F1242"/>
    <mergeCell ref="G1242:H1242"/>
    <mergeCell ref="C1243:F1243"/>
    <mergeCell ref="G1243:H1243"/>
    <mergeCell ref="C1244:F1244"/>
    <mergeCell ref="G1244:H1244"/>
    <mergeCell ref="C1245:F1245"/>
    <mergeCell ref="G1245:H1245"/>
    <mergeCell ref="C1246:F1246"/>
    <mergeCell ref="G1246:H1246"/>
    <mergeCell ref="C1247:F1247"/>
    <mergeCell ref="G1247:H1247"/>
    <mergeCell ref="C1248:F1248"/>
    <mergeCell ref="G1248:H1248"/>
    <mergeCell ref="C1249:F1249"/>
    <mergeCell ref="G1249:H1249"/>
    <mergeCell ref="C1250:F1250"/>
    <mergeCell ref="G1250:H1250"/>
    <mergeCell ref="C1251:F1251"/>
    <mergeCell ref="G1251:H1251"/>
    <mergeCell ref="C1252:F1252"/>
    <mergeCell ref="G1252:H1252"/>
    <mergeCell ref="C1253:F1253"/>
    <mergeCell ref="G1253:H1253"/>
    <mergeCell ref="C1254:F1254"/>
    <mergeCell ref="G1254:H1254"/>
    <mergeCell ref="C1255:F1255"/>
    <mergeCell ref="G1255:H1255"/>
    <mergeCell ref="C1256:F1256"/>
    <mergeCell ref="G1256:H1256"/>
    <mergeCell ref="C1257:F1257"/>
    <mergeCell ref="G1257:H1257"/>
    <mergeCell ref="C1258:F1258"/>
    <mergeCell ref="G1258:H1258"/>
    <mergeCell ref="C1259:F1259"/>
    <mergeCell ref="G1259:H1259"/>
    <mergeCell ref="C1260:F1260"/>
    <mergeCell ref="G1260:H1260"/>
    <mergeCell ref="C1261:F1261"/>
    <mergeCell ref="G1261:H1261"/>
    <mergeCell ref="C1262:F1262"/>
    <mergeCell ref="G1262:H1262"/>
    <mergeCell ref="C1263:F1263"/>
    <mergeCell ref="G1263:H1263"/>
    <mergeCell ref="C1264:F1264"/>
    <mergeCell ref="G1264:H1264"/>
    <mergeCell ref="A1266:K1266"/>
    <mergeCell ref="A1267:K1267"/>
    <mergeCell ref="B1268:G1268"/>
    <mergeCell ref="H1268:K1268"/>
    <mergeCell ref="B1269:K1269"/>
    <mergeCell ref="C1270:F1270"/>
    <mergeCell ref="G1270:H1270"/>
    <mergeCell ref="C1271:F1271"/>
    <mergeCell ref="G1271:H1271"/>
    <mergeCell ref="C1272:F1272"/>
    <mergeCell ref="G1272:H1272"/>
    <mergeCell ref="C1273:F1273"/>
    <mergeCell ref="G1273:H1273"/>
    <mergeCell ref="C1274:F1274"/>
    <mergeCell ref="G1274:H1274"/>
    <mergeCell ref="C1275:F1275"/>
    <mergeCell ref="G1275:H1275"/>
    <mergeCell ref="C1276:F1276"/>
    <mergeCell ref="G1276:H1276"/>
    <mergeCell ref="C1277:F1277"/>
    <mergeCell ref="G1277:H1277"/>
    <mergeCell ref="C1278:F1278"/>
    <mergeCell ref="G1278:H1278"/>
    <mergeCell ref="C1279:F1279"/>
    <mergeCell ref="G1279:H1279"/>
    <mergeCell ref="C1280:F1280"/>
    <mergeCell ref="G1280:H1280"/>
    <mergeCell ref="C1281:F1281"/>
    <mergeCell ref="G1281:H1281"/>
    <mergeCell ref="C1282:F1282"/>
    <mergeCell ref="G1282:H1282"/>
    <mergeCell ref="C1283:F1283"/>
    <mergeCell ref="G1283:H1283"/>
    <mergeCell ref="C1284:F1284"/>
    <mergeCell ref="G1284:H1284"/>
    <mergeCell ref="C1285:F1285"/>
    <mergeCell ref="G1285:H1285"/>
    <mergeCell ref="C1286:F1286"/>
    <mergeCell ref="G1286:H1286"/>
    <mergeCell ref="C1287:F1287"/>
    <mergeCell ref="G1287:H1287"/>
    <mergeCell ref="C1288:F1288"/>
    <mergeCell ref="G1288:H1288"/>
    <mergeCell ref="C1289:F1289"/>
    <mergeCell ref="G1289:H1289"/>
    <mergeCell ref="C1290:F1290"/>
    <mergeCell ref="G1290:H1290"/>
    <mergeCell ref="C1291:F1291"/>
    <mergeCell ref="G1291:H1291"/>
    <mergeCell ref="C1292:F1292"/>
    <mergeCell ref="G1292:H1292"/>
    <mergeCell ref="C1293:F1293"/>
    <mergeCell ref="G1293:H1293"/>
    <mergeCell ref="C1294:F1294"/>
    <mergeCell ref="G1294:H1294"/>
    <mergeCell ref="C1295:F1295"/>
    <mergeCell ref="G1295:H1295"/>
    <mergeCell ref="C1296:F1296"/>
    <mergeCell ref="G1296:H1296"/>
    <mergeCell ref="C1297:F1297"/>
    <mergeCell ref="G1297:H1297"/>
    <mergeCell ref="C1298:F1298"/>
    <mergeCell ref="G1298:H1298"/>
    <mergeCell ref="C1299:F1299"/>
    <mergeCell ref="G1299:H1299"/>
    <mergeCell ref="C1300:F1300"/>
    <mergeCell ref="G1300:H1300"/>
    <mergeCell ref="C1301:F1301"/>
    <mergeCell ref="G1301:H1301"/>
    <mergeCell ref="A1303:K1303"/>
    <mergeCell ref="A1304:K1304"/>
    <mergeCell ref="B1305:G1305"/>
    <mergeCell ref="H1305:K1305"/>
    <mergeCell ref="B1306:K1306"/>
    <mergeCell ref="C1307:F1307"/>
    <mergeCell ref="G1307:H1307"/>
    <mergeCell ref="C1308:F1308"/>
    <mergeCell ref="G1308:H1308"/>
    <mergeCell ref="C1309:F1309"/>
    <mergeCell ref="G1309:H1309"/>
    <mergeCell ref="C1310:F1310"/>
    <mergeCell ref="G1310:H1310"/>
    <mergeCell ref="C1311:F1311"/>
    <mergeCell ref="G1311:H1311"/>
    <mergeCell ref="C1312:F1312"/>
    <mergeCell ref="G1312:H1312"/>
    <mergeCell ref="C1313:F1313"/>
    <mergeCell ref="G1313:H1313"/>
    <mergeCell ref="C1314:F1314"/>
    <mergeCell ref="G1314:H1314"/>
    <mergeCell ref="C1315:F1315"/>
    <mergeCell ref="G1315:H1315"/>
    <mergeCell ref="C1316:F1316"/>
    <mergeCell ref="G1316:H1316"/>
    <mergeCell ref="C1317:F1317"/>
    <mergeCell ref="G1317:H1317"/>
    <mergeCell ref="C1318:F1318"/>
    <mergeCell ref="G1318:H1318"/>
    <mergeCell ref="C1319:F1319"/>
    <mergeCell ref="G1319:H1319"/>
    <mergeCell ref="C1320:F1320"/>
    <mergeCell ref="G1320:H1320"/>
    <mergeCell ref="C1321:F1321"/>
    <mergeCell ref="G1321:H1321"/>
    <mergeCell ref="C1322:F1322"/>
    <mergeCell ref="G1322:H1322"/>
    <mergeCell ref="C1323:F1323"/>
    <mergeCell ref="G1323:H1323"/>
    <mergeCell ref="C1324:F1324"/>
    <mergeCell ref="G1324:H1324"/>
    <mergeCell ref="C1325:F1325"/>
    <mergeCell ref="G1325:H1325"/>
    <mergeCell ref="C1326:F1326"/>
    <mergeCell ref="G1326:H1326"/>
    <mergeCell ref="C1327:F1327"/>
    <mergeCell ref="G1327:H1327"/>
    <mergeCell ref="C1328:F1328"/>
    <mergeCell ref="G1328:H1328"/>
    <mergeCell ref="C1329:F1329"/>
    <mergeCell ref="G1329:H1329"/>
    <mergeCell ref="C1330:F1330"/>
    <mergeCell ref="G1330:H1330"/>
    <mergeCell ref="C1331:F1331"/>
    <mergeCell ref="G1331:H1331"/>
    <mergeCell ref="C1332:F1332"/>
    <mergeCell ref="G1332:H1332"/>
    <mergeCell ref="C1333:F1333"/>
    <mergeCell ref="G1333:H1333"/>
    <mergeCell ref="C1334:F1334"/>
    <mergeCell ref="G1334:H1334"/>
    <mergeCell ref="C1335:F1335"/>
    <mergeCell ref="G1335:H1335"/>
    <mergeCell ref="C1336:F1336"/>
    <mergeCell ref="G1336:H1336"/>
    <mergeCell ref="C1337:F1337"/>
    <mergeCell ref="G1337:H1337"/>
    <mergeCell ref="A1339:K1339"/>
    <mergeCell ref="A1340:K1340"/>
    <mergeCell ref="B1341:G1341"/>
    <mergeCell ref="H1341:K1341"/>
    <mergeCell ref="B1342:K1342"/>
    <mergeCell ref="C1343:F1343"/>
    <mergeCell ref="G1343:H1343"/>
    <mergeCell ref="C1344:F1344"/>
    <mergeCell ref="G1344:H1344"/>
    <mergeCell ref="C1345:F1345"/>
    <mergeCell ref="G1345:H1345"/>
    <mergeCell ref="C1346:F1346"/>
    <mergeCell ref="G1346:H1346"/>
    <mergeCell ref="C1347:F1347"/>
    <mergeCell ref="G1347:H1347"/>
    <mergeCell ref="C1348:F1348"/>
    <mergeCell ref="G1348:H1348"/>
    <mergeCell ref="C1349:F1349"/>
    <mergeCell ref="G1349:H1349"/>
    <mergeCell ref="C1350:F1350"/>
    <mergeCell ref="G1350:H1350"/>
    <mergeCell ref="C1351:F1351"/>
    <mergeCell ref="G1351:H1351"/>
    <mergeCell ref="C1352:F1352"/>
    <mergeCell ref="G1352:H1352"/>
    <mergeCell ref="C1353:F1353"/>
    <mergeCell ref="G1353:H1353"/>
    <mergeCell ref="C1354:F1354"/>
    <mergeCell ref="G1354:H1354"/>
    <mergeCell ref="C1355:F1355"/>
    <mergeCell ref="G1355:H1355"/>
    <mergeCell ref="C1356:F1356"/>
    <mergeCell ref="G1356:H1356"/>
    <mergeCell ref="C1357:F1357"/>
    <mergeCell ref="G1357:H1357"/>
    <mergeCell ref="C1358:F1358"/>
    <mergeCell ref="G1358:H1358"/>
    <mergeCell ref="C1359:F1359"/>
    <mergeCell ref="G1359:H1359"/>
    <mergeCell ref="C1360:F1360"/>
    <mergeCell ref="G1360:H1360"/>
    <mergeCell ref="C1361:F1361"/>
    <mergeCell ref="G1361:H1361"/>
    <mergeCell ref="C1362:F1362"/>
    <mergeCell ref="G1362:H1362"/>
    <mergeCell ref="C1363:F1363"/>
    <mergeCell ref="G1363:H1363"/>
    <mergeCell ref="C1364:F1364"/>
    <mergeCell ref="G1364:H1364"/>
    <mergeCell ref="C1365:F1365"/>
    <mergeCell ref="G1365:H1365"/>
    <mergeCell ref="C1366:F1366"/>
    <mergeCell ref="G1366:H1366"/>
    <mergeCell ref="C1367:F1367"/>
    <mergeCell ref="G1367:H1367"/>
    <mergeCell ref="C1368:F1368"/>
    <mergeCell ref="G1368:H1368"/>
    <mergeCell ref="C1369:F1369"/>
    <mergeCell ref="G1369:H1369"/>
    <mergeCell ref="C1370:F1370"/>
    <mergeCell ref="G1370:H1370"/>
    <mergeCell ref="C1371:F1371"/>
    <mergeCell ref="G1371:H1371"/>
    <mergeCell ref="C1372:F1372"/>
    <mergeCell ref="G1372:H1372"/>
    <mergeCell ref="C1373:F1373"/>
    <mergeCell ref="G1373:H1373"/>
    <mergeCell ref="C1374:F1374"/>
    <mergeCell ref="G1374:H1374"/>
    <mergeCell ref="A1376:K1376"/>
    <mergeCell ref="A1377:K1377"/>
    <mergeCell ref="B1378:G1378"/>
    <mergeCell ref="H1378:K1378"/>
    <mergeCell ref="B1379:K1379"/>
    <mergeCell ref="C1380:F1380"/>
    <mergeCell ref="G1380:H1380"/>
    <mergeCell ref="C1381:F1381"/>
    <mergeCell ref="G1381:H1381"/>
    <mergeCell ref="C1382:F1382"/>
    <mergeCell ref="G1382:H1382"/>
    <mergeCell ref="C1383:F1383"/>
    <mergeCell ref="G1383:H1383"/>
    <mergeCell ref="C1384:F1384"/>
    <mergeCell ref="G1384:H1384"/>
    <mergeCell ref="C1385:F1385"/>
    <mergeCell ref="G1385:H1385"/>
    <mergeCell ref="C1386:F1386"/>
    <mergeCell ref="G1386:H1386"/>
    <mergeCell ref="C1387:F1387"/>
    <mergeCell ref="G1387:H1387"/>
    <mergeCell ref="C1388:F1388"/>
    <mergeCell ref="G1388:H1388"/>
    <mergeCell ref="C1389:F1389"/>
    <mergeCell ref="G1389:H1389"/>
    <mergeCell ref="C1390:F1390"/>
    <mergeCell ref="G1390:H1390"/>
    <mergeCell ref="C1391:F1391"/>
    <mergeCell ref="G1391:H1391"/>
    <mergeCell ref="C1392:F1392"/>
    <mergeCell ref="G1392:H1392"/>
    <mergeCell ref="C1393:F1393"/>
    <mergeCell ref="G1393:H1393"/>
    <mergeCell ref="C1394:F1394"/>
    <mergeCell ref="G1394:H1394"/>
    <mergeCell ref="C1395:F1395"/>
    <mergeCell ref="G1395:H1395"/>
    <mergeCell ref="C1396:F1396"/>
    <mergeCell ref="G1396:H1396"/>
    <mergeCell ref="C1397:F1397"/>
    <mergeCell ref="G1397:H1397"/>
    <mergeCell ref="C1398:F1398"/>
    <mergeCell ref="G1398:H1398"/>
    <mergeCell ref="C1399:F1399"/>
    <mergeCell ref="G1399:H1399"/>
    <mergeCell ref="C1400:F1400"/>
    <mergeCell ref="G1400:H1400"/>
    <mergeCell ref="C1401:F1401"/>
    <mergeCell ref="G1401:H1401"/>
    <mergeCell ref="C1402:F1402"/>
    <mergeCell ref="G1402:H1402"/>
    <mergeCell ref="C1403:F1403"/>
    <mergeCell ref="G1403:H1403"/>
    <mergeCell ref="C1404:F1404"/>
    <mergeCell ref="G1404:H1404"/>
    <mergeCell ref="C1405:F1405"/>
    <mergeCell ref="G1405:H1405"/>
    <mergeCell ref="C1406:F1406"/>
    <mergeCell ref="G1406:H1406"/>
    <mergeCell ref="C1407:F1407"/>
    <mergeCell ref="G1407:H1407"/>
    <mergeCell ref="C1408:F1408"/>
    <mergeCell ref="G1408:H1408"/>
    <mergeCell ref="C1409:F1409"/>
    <mergeCell ref="G1409:H1409"/>
    <mergeCell ref="C1410:F1410"/>
    <mergeCell ref="G1410:H1410"/>
    <mergeCell ref="C1411:F1411"/>
    <mergeCell ref="G1411:H1411"/>
    <mergeCell ref="A1413:K1413"/>
    <mergeCell ref="A1414:K1414"/>
    <mergeCell ref="B1415:G1415"/>
    <mergeCell ref="H1415:K1415"/>
    <mergeCell ref="B1416:K1416"/>
    <mergeCell ref="C1417:F1417"/>
    <mergeCell ref="G1417:H1417"/>
    <mergeCell ref="C1418:F1418"/>
    <mergeCell ref="G1418:H1418"/>
    <mergeCell ref="C1419:F1419"/>
    <mergeCell ref="G1419:H1419"/>
    <mergeCell ref="C1420:F1420"/>
    <mergeCell ref="G1420:H1420"/>
    <mergeCell ref="C1421:F1421"/>
    <mergeCell ref="G1421:H1421"/>
    <mergeCell ref="C1422:F1422"/>
    <mergeCell ref="G1422:H1422"/>
    <mergeCell ref="C1423:F1423"/>
    <mergeCell ref="G1423:H1423"/>
    <mergeCell ref="C1424:F1424"/>
    <mergeCell ref="G1424:H1424"/>
    <mergeCell ref="C1425:F1425"/>
    <mergeCell ref="G1425:H1425"/>
    <mergeCell ref="C1426:F1426"/>
    <mergeCell ref="G1426:H1426"/>
    <mergeCell ref="C1427:F1427"/>
    <mergeCell ref="G1427:H1427"/>
    <mergeCell ref="C1428:F1428"/>
    <mergeCell ref="G1428:H1428"/>
    <mergeCell ref="C1429:F1429"/>
    <mergeCell ref="G1429:H1429"/>
    <mergeCell ref="C1430:F1430"/>
    <mergeCell ref="G1430:H1430"/>
    <mergeCell ref="C1431:F1431"/>
    <mergeCell ref="G1431:H1431"/>
    <mergeCell ref="C1432:F1432"/>
    <mergeCell ref="G1432:H1432"/>
    <mergeCell ref="C1433:F1433"/>
    <mergeCell ref="G1433:H1433"/>
    <mergeCell ref="C1434:F1434"/>
    <mergeCell ref="G1434:H1434"/>
    <mergeCell ref="C1435:F1435"/>
    <mergeCell ref="G1435:H1435"/>
    <mergeCell ref="C1436:F1436"/>
    <mergeCell ref="G1436:H1436"/>
    <mergeCell ref="C1437:F1437"/>
    <mergeCell ref="G1437:H1437"/>
    <mergeCell ref="C1438:F1438"/>
    <mergeCell ref="G1438:H1438"/>
    <mergeCell ref="C1439:F1439"/>
    <mergeCell ref="G1439:H1439"/>
    <mergeCell ref="C1440:F1440"/>
    <mergeCell ref="G1440:H1440"/>
    <mergeCell ref="C1441:F1441"/>
    <mergeCell ref="G1441:H1441"/>
    <mergeCell ref="C1442:F1442"/>
    <mergeCell ref="G1442:H1442"/>
    <mergeCell ref="C1443:F1443"/>
    <mergeCell ref="G1443:H1443"/>
    <mergeCell ref="C1444:F1444"/>
    <mergeCell ref="G1444:H1444"/>
    <mergeCell ref="A1446:K1446"/>
    <mergeCell ref="A1447:K1447"/>
    <mergeCell ref="B1448:G1448"/>
    <mergeCell ref="H1448:K1448"/>
    <mergeCell ref="B1449:K1449"/>
    <mergeCell ref="C1450:F1450"/>
    <mergeCell ref="G1450:H1450"/>
    <mergeCell ref="C1451:F1451"/>
    <mergeCell ref="G1451:H1451"/>
    <mergeCell ref="C1452:F1452"/>
    <mergeCell ref="G1452:H1452"/>
    <mergeCell ref="C1453:F1453"/>
    <mergeCell ref="G1453:H1453"/>
    <mergeCell ref="C1454:F1454"/>
    <mergeCell ref="G1454:H1454"/>
    <mergeCell ref="C1455:F1455"/>
    <mergeCell ref="G1455:H1455"/>
    <mergeCell ref="C1456:F1456"/>
    <mergeCell ref="G1456:H1456"/>
    <mergeCell ref="C1457:F1457"/>
    <mergeCell ref="G1457:H1457"/>
    <mergeCell ref="C1458:F1458"/>
    <mergeCell ref="G1458:H1458"/>
    <mergeCell ref="C1459:F1459"/>
    <mergeCell ref="G1459:H1459"/>
    <mergeCell ref="C1460:F1460"/>
    <mergeCell ref="G1460:H1460"/>
    <mergeCell ref="C1461:F1461"/>
    <mergeCell ref="G1461:H1461"/>
    <mergeCell ref="C1462:F1462"/>
    <mergeCell ref="G1462:H1462"/>
    <mergeCell ref="C1463:F1463"/>
    <mergeCell ref="G1463:H1463"/>
    <mergeCell ref="C1464:F1464"/>
    <mergeCell ref="G1464:H1464"/>
    <mergeCell ref="C1465:F1465"/>
    <mergeCell ref="G1465:H1465"/>
    <mergeCell ref="C1466:F1466"/>
    <mergeCell ref="G1466:H1466"/>
    <mergeCell ref="C1467:F1467"/>
    <mergeCell ref="G1467:H1467"/>
    <mergeCell ref="C1468:F1468"/>
    <mergeCell ref="G1468:H1468"/>
    <mergeCell ref="C1469:F1469"/>
    <mergeCell ref="G1469:H1469"/>
    <mergeCell ref="C1470:F1470"/>
    <mergeCell ref="G1470:H1470"/>
    <mergeCell ref="C1471:F1471"/>
    <mergeCell ref="G1471:H1471"/>
    <mergeCell ref="C1472:F1472"/>
    <mergeCell ref="G1472:H1472"/>
    <mergeCell ref="C1473:F1473"/>
    <mergeCell ref="G1473:H1473"/>
    <mergeCell ref="C1474:F1474"/>
    <mergeCell ref="G1474:H1474"/>
    <mergeCell ref="C1475:F1475"/>
    <mergeCell ref="G1475:H1475"/>
    <mergeCell ref="C1476:F1476"/>
    <mergeCell ref="G1476:H1476"/>
    <mergeCell ref="C1477:F1477"/>
    <mergeCell ref="G1477:H1477"/>
    <mergeCell ref="C1478:F1478"/>
    <mergeCell ref="G1478:H1478"/>
    <mergeCell ref="C1479:F1479"/>
    <mergeCell ref="G1479:H1479"/>
  </mergeCells>
  <printOptions/>
  <pageMargins left="0.9055099999999999" right="0" top="0.70866" bottom="0" header="0.55118" footer="0.3937"/>
  <pageSetup firstPageNumber="18" useFirstPageNumber="1" horizontalDpi="300" verticalDpi="300" orientation="portrait" pageOrder="overThenDown" paperSize="9"/>
  <headerFooter alignWithMargins="0">
    <oddFooter>&amp;L&amp;C&amp;P&amp;R</oddFooter>
  </headerFooter>
  <rowBreaks count="40" manualBreakCount="40">
    <brk id="37" max="255" man="1"/>
    <brk id="74" max="255" man="1"/>
    <brk id="111" max="255" man="1"/>
    <brk id="148" max="255" man="1"/>
    <brk id="185" max="255" man="1"/>
    <brk id="221" max="255" man="1"/>
    <brk id="257" max="255" man="1"/>
    <brk id="294" max="255" man="1"/>
    <brk id="331" max="255" man="1"/>
    <brk id="368" max="255" man="1"/>
    <brk id="403" max="255" man="1"/>
    <brk id="438" max="255" man="1"/>
    <brk id="472" max="255" man="1"/>
    <brk id="507" max="255" man="1"/>
    <brk id="540" max="255" man="1"/>
    <brk id="575" max="255" man="1"/>
    <brk id="609" max="255" man="1"/>
    <brk id="644" max="255" man="1"/>
    <brk id="678" max="255" man="1"/>
    <brk id="713" max="255" man="1"/>
    <brk id="748" max="255" man="1"/>
    <brk id="784" max="255" man="1"/>
    <brk id="821" max="255" man="1"/>
    <brk id="858" max="255" man="1"/>
    <brk id="895" max="255" man="1"/>
    <brk id="932" max="255" man="1"/>
    <brk id="969" max="255" man="1"/>
    <brk id="1006" max="255" man="1"/>
    <brk id="1043" max="255" man="1"/>
    <brk id="1080" max="255" man="1"/>
    <brk id="1117" max="255" man="1"/>
    <brk id="1154" max="255" man="1"/>
    <brk id="1191" max="255" man="1"/>
    <brk id="1227" max="255" man="1"/>
    <brk id="1264" max="255" man="1"/>
    <brk id="1301" max="255" man="1"/>
    <brk id="1337" max="255" man="1"/>
    <brk id="1374" max="255" man="1"/>
    <brk id="1411" max="255" man="1"/>
    <brk id="14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116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2.8515625" style="0" customWidth="1"/>
    <col min="3" max="3" width="25.7109375" style="0" customWidth="1"/>
    <col min="4" max="13" width="9.28125" style="0" customWidth="1"/>
    <col min="14" max="14" width="11.00390625" style="0" customWidth="1"/>
  </cols>
  <sheetData>
    <row r="1" spans="1:13" ht="7.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26.25" customHeight="1">
      <c r="A2" s="292" t="s">
        <v>1896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27.75" customHeight="1">
      <c r="A3" s="293" t="s">
        <v>28</v>
      </c>
      <c r="B3" s="293" t="s">
        <v>69</v>
      </c>
      <c r="C3" s="293"/>
      <c r="D3" s="293" t="s">
        <v>1897</v>
      </c>
      <c r="E3" s="293" t="s">
        <v>1898</v>
      </c>
      <c r="F3" s="293" t="s">
        <v>1899</v>
      </c>
      <c r="G3" s="293" t="s">
        <v>1900</v>
      </c>
      <c r="H3" s="293" t="s">
        <v>1901</v>
      </c>
      <c r="I3" s="293" t="s">
        <v>1902</v>
      </c>
      <c r="J3" s="293" t="s">
        <v>1903</v>
      </c>
      <c r="K3" s="293" t="s">
        <v>1904</v>
      </c>
      <c r="L3" s="293" t="s">
        <v>1905</v>
      </c>
      <c r="M3" s="293"/>
    </row>
    <row r="4" spans="1:13" ht="18.75" customHeight="1">
      <c r="A4" s="294" t="s">
        <v>31</v>
      </c>
      <c r="B4" s="294" t="s">
        <v>32</v>
      </c>
      <c r="C4" s="294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8.75" customHeight="1">
      <c r="A5" s="294" t="s">
        <v>76</v>
      </c>
      <c r="B5" s="294" t="s">
        <v>77</v>
      </c>
      <c r="C5" s="294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ht="27.75" customHeight="1">
      <c r="A6" s="294" t="s">
        <v>78</v>
      </c>
      <c r="B6" s="294" t="s">
        <v>80</v>
      </c>
      <c r="C6" s="294"/>
      <c r="D6" s="295" t="s">
        <v>82</v>
      </c>
      <c r="E6" s="295"/>
      <c r="F6" s="295"/>
      <c r="G6" s="295"/>
      <c r="H6" s="295"/>
      <c r="I6" s="295"/>
      <c r="J6" s="295"/>
      <c r="K6" s="295"/>
      <c r="L6" s="295"/>
      <c r="M6" s="295"/>
    </row>
    <row r="7" spans="1:13" ht="18.75" customHeight="1">
      <c r="A7" s="294" t="s">
        <v>84</v>
      </c>
      <c r="B7" s="294" t="s">
        <v>86</v>
      </c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1:13" ht="18.75" customHeight="1">
      <c r="A8" s="294" t="s">
        <v>90</v>
      </c>
      <c r="B8" s="294" t="s">
        <v>92</v>
      </c>
      <c r="C8" s="294"/>
      <c r="D8" s="295" t="s">
        <v>93</v>
      </c>
      <c r="E8" s="295"/>
      <c r="F8" s="295"/>
      <c r="G8" s="295"/>
      <c r="H8" s="295"/>
      <c r="I8" s="295"/>
      <c r="J8" s="295"/>
      <c r="K8" s="295"/>
      <c r="L8" s="295"/>
      <c r="M8" s="295"/>
    </row>
    <row r="9" spans="1:13" ht="18.75" customHeight="1">
      <c r="A9" s="294" t="s">
        <v>94</v>
      </c>
      <c r="B9" s="294" t="s">
        <v>96</v>
      </c>
      <c r="C9" s="294"/>
      <c r="D9" s="295"/>
      <c r="E9" s="295"/>
      <c r="F9" s="295"/>
      <c r="G9" s="295" t="s">
        <v>98</v>
      </c>
      <c r="H9" s="295"/>
      <c r="I9" s="295"/>
      <c r="J9" s="295"/>
      <c r="K9" s="295"/>
      <c r="L9" s="295"/>
      <c r="M9" s="295"/>
    </row>
    <row r="10" spans="1:13" ht="18.75" customHeight="1">
      <c r="A10" s="294" t="s">
        <v>100</v>
      </c>
      <c r="B10" s="294" t="s">
        <v>102</v>
      </c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18.75" customHeight="1">
      <c r="A11" s="294" t="s">
        <v>106</v>
      </c>
      <c r="B11" s="294" t="s">
        <v>108</v>
      </c>
      <c r="C11" s="294"/>
      <c r="D11" s="295"/>
      <c r="E11" s="295"/>
      <c r="F11" s="295"/>
      <c r="G11" s="295"/>
      <c r="H11" s="295" t="s">
        <v>109</v>
      </c>
      <c r="I11" s="295"/>
      <c r="J11" s="295"/>
      <c r="K11" s="295"/>
      <c r="L11" s="295"/>
      <c r="M11" s="295"/>
    </row>
    <row r="12" spans="1:13" ht="18.75" customHeight="1">
      <c r="A12" s="294" t="s">
        <v>111</v>
      </c>
      <c r="B12" s="294" t="s">
        <v>112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18.75" customHeight="1">
      <c r="A13" s="294" t="s">
        <v>115</v>
      </c>
      <c r="B13" s="294" t="s">
        <v>117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ht="18.75" customHeight="1">
      <c r="A14" s="294" t="s">
        <v>119</v>
      </c>
      <c r="B14" s="294" t="s">
        <v>121</v>
      </c>
      <c r="C14" s="294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8.75" customHeight="1">
      <c r="A15" s="294" t="s">
        <v>124</v>
      </c>
      <c r="B15" s="294" t="s">
        <v>126</v>
      </c>
      <c r="C15" s="294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18.75" customHeight="1">
      <c r="A16" s="294" t="s">
        <v>128</v>
      </c>
      <c r="B16" s="294" t="s">
        <v>130</v>
      </c>
      <c r="C16" s="294"/>
      <c r="D16" s="295"/>
      <c r="E16" s="295"/>
      <c r="F16" s="295"/>
      <c r="G16" s="295"/>
      <c r="H16" s="295"/>
      <c r="I16" s="295" t="s">
        <v>131</v>
      </c>
      <c r="J16" s="295"/>
      <c r="K16" s="295"/>
      <c r="L16" s="295"/>
      <c r="M16" s="295"/>
    </row>
    <row r="17" spans="1:13" ht="18.75" customHeight="1">
      <c r="A17" s="294" t="s">
        <v>133</v>
      </c>
      <c r="B17" s="294" t="s">
        <v>135</v>
      </c>
      <c r="C17" s="294"/>
      <c r="D17" s="295"/>
      <c r="E17" s="295"/>
      <c r="F17" s="295"/>
      <c r="G17" s="295"/>
      <c r="H17" s="295"/>
      <c r="I17" s="295"/>
      <c r="J17" s="295"/>
      <c r="K17" s="295"/>
      <c r="L17" s="295"/>
      <c r="M17" s="295"/>
    </row>
    <row r="18" spans="1:13" ht="27.75" customHeight="1">
      <c r="A18" s="294" t="s">
        <v>138</v>
      </c>
      <c r="B18" s="294" t="s">
        <v>140</v>
      </c>
      <c r="C18" s="294"/>
      <c r="D18" s="295"/>
      <c r="E18" s="295"/>
      <c r="F18" s="295"/>
      <c r="G18" s="295"/>
      <c r="H18" s="295" t="s">
        <v>141</v>
      </c>
      <c r="I18" s="295"/>
      <c r="J18" s="295"/>
      <c r="K18" s="295"/>
      <c r="L18" s="295"/>
      <c r="M18" s="295"/>
    </row>
    <row r="19" spans="1:13" ht="18.75" customHeight="1">
      <c r="A19" s="294" t="s">
        <v>143</v>
      </c>
      <c r="B19" s="294" t="s">
        <v>144</v>
      </c>
      <c r="C19" s="294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13" ht="18.75" customHeight="1">
      <c r="A20" s="294" t="s">
        <v>146</v>
      </c>
      <c r="B20" s="294" t="s">
        <v>148</v>
      </c>
      <c r="C20" s="294"/>
      <c r="D20" s="295"/>
      <c r="E20" s="295"/>
      <c r="F20" s="295"/>
      <c r="G20" s="295"/>
      <c r="H20" s="295"/>
      <c r="I20" s="295"/>
      <c r="J20" s="295" t="s">
        <v>150</v>
      </c>
      <c r="K20" s="295"/>
      <c r="L20" s="295"/>
      <c r="M20" s="295"/>
    </row>
    <row r="21" spans="1:13" ht="18.75" customHeight="1">
      <c r="A21" s="294" t="s">
        <v>152</v>
      </c>
      <c r="B21" s="294" t="s">
        <v>153</v>
      </c>
      <c r="C21" s="294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ht="27.75" customHeight="1">
      <c r="A22" s="294" t="s">
        <v>154</v>
      </c>
      <c r="B22" s="294" t="s">
        <v>80</v>
      </c>
      <c r="C22" s="294"/>
      <c r="D22" s="295" t="s">
        <v>156</v>
      </c>
      <c r="E22" s="295"/>
      <c r="F22" s="295"/>
      <c r="G22" s="295"/>
      <c r="H22" s="295"/>
      <c r="I22" s="295"/>
      <c r="J22" s="295"/>
      <c r="K22" s="295"/>
      <c r="L22" s="295"/>
      <c r="M22" s="295"/>
    </row>
    <row r="23" spans="1:13" ht="27.75" customHeight="1">
      <c r="A23" s="294" t="s">
        <v>157</v>
      </c>
      <c r="B23" s="294" t="s">
        <v>159</v>
      </c>
      <c r="C23" s="294"/>
      <c r="D23" s="295" t="s">
        <v>160</v>
      </c>
      <c r="E23" s="295"/>
      <c r="F23" s="295"/>
      <c r="G23" s="295"/>
      <c r="H23" s="295"/>
      <c r="I23" s="295"/>
      <c r="J23" s="295"/>
      <c r="K23" s="295"/>
      <c r="L23" s="295"/>
      <c r="M23" s="295"/>
    </row>
    <row r="24" ht="7.5" customHeight="1">
      <c r="A24" s="290"/>
    </row>
    <row r="25" spans="1:13" ht="26.25" customHeight="1">
      <c r="A25" s="292" t="s">
        <v>1896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</row>
    <row r="26" spans="1:13" ht="27.75" customHeight="1">
      <c r="A26" s="293" t="s">
        <v>28</v>
      </c>
      <c r="B26" s="293" t="s">
        <v>69</v>
      </c>
      <c r="C26" s="293"/>
      <c r="D26" s="293" t="s">
        <v>1897</v>
      </c>
      <c r="E26" s="293" t="s">
        <v>1898</v>
      </c>
      <c r="F26" s="293" t="s">
        <v>1899</v>
      </c>
      <c r="G26" s="293" t="s">
        <v>1900</v>
      </c>
      <c r="H26" s="293" t="s">
        <v>1901</v>
      </c>
      <c r="I26" s="293" t="s">
        <v>1902</v>
      </c>
      <c r="J26" s="293" t="s">
        <v>1903</v>
      </c>
      <c r="K26" s="293" t="s">
        <v>1904</v>
      </c>
      <c r="L26" s="293" t="s">
        <v>1905</v>
      </c>
      <c r="M26" s="293"/>
    </row>
    <row r="27" spans="1:13" ht="18.75" customHeight="1">
      <c r="A27" s="294" t="s">
        <v>161</v>
      </c>
      <c r="B27" s="294" t="s">
        <v>86</v>
      </c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5"/>
    </row>
    <row r="28" spans="1:13" ht="18.75" customHeight="1">
      <c r="A28" s="294" t="s">
        <v>164</v>
      </c>
      <c r="B28" s="294" t="s">
        <v>166</v>
      </c>
      <c r="C28" s="294"/>
      <c r="D28" s="295" t="s">
        <v>167</v>
      </c>
      <c r="E28" s="295"/>
      <c r="F28" s="295"/>
      <c r="G28" s="295"/>
      <c r="H28" s="295"/>
      <c r="I28" s="295"/>
      <c r="J28" s="295"/>
      <c r="K28" s="295"/>
      <c r="L28" s="295"/>
      <c r="M28" s="295"/>
    </row>
    <row r="29" spans="1:13" ht="18.75" customHeight="1">
      <c r="A29" s="294" t="s">
        <v>168</v>
      </c>
      <c r="B29" s="294" t="s">
        <v>96</v>
      </c>
      <c r="C29" s="294"/>
      <c r="D29" s="295"/>
      <c r="E29" s="295"/>
      <c r="F29" s="295"/>
      <c r="G29" s="295" t="s">
        <v>170</v>
      </c>
      <c r="H29" s="295"/>
      <c r="I29" s="295"/>
      <c r="J29" s="295"/>
      <c r="K29" s="295"/>
      <c r="L29" s="295"/>
      <c r="M29" s="295"/>
    </row>
    <row r="30" spans="1:13" ht="18.75" customHeight="1">
      <c r="A30" s="294" t="s">
        <v>171</v>
      </c>
      <c r="B30" s="294" t="s">
        <v>102</v>
      </c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295"/>
    </row>
    <row r="31" spans="1:13" ht="18.75" customHeight="1">
      <c r="A31" s="294" t="s">
        <v>175</v>
      </c>
      <c r="B31" s="294" t="s">
        <v>108</v>
      </c>
      <c r="C31" s="294"/>
      <c r="D31" s="295"/>
      <c r="E31" s="295"/>
      <c r="F31" s="295"/>
      <c r="G31" s="295"/>
      <c r="H31" s="295" t="s">
        <v>177</v>
      </c>
      <c r="I31" s="295"/>
      <c r="J31" s="295"/>
      <c r="K31" s="295"/>
      <c r="L31" s="295"/>
      <c r="M31" s="295"/>
    </row>
    <row r="32" spans="1:13" ht="18.75" customHeight="1">
      <c r="A32" s="294" t="s">
        <v>178</v>
      </c>
      <c r="B32" s="294" t="s">
        <v>180</v>
      </c>
      <c r="C32" s="294"/>
      <c r="D32" s="295"/>
      <c r="E32" s="295"/>
      <c r="F32" s="295"/>
      <c r="G32" s="295"/>
      <c r="H32" s="295" t="s">
        <v>181</v>
      </c>
      <c r="I32" s="295"/>
      <c r="J32" s="295"/>
      <c r="K32" s="295"/>
      <c r="L32" s="295"/>
      <c r="M32" s="295"/>
    </row>
    <row r="33" spans="1:13" ht="18.75" customHeight="1">
      <c r="A33" s="294" t="s">
        <v>182</v>
      </c>
      <c r="B33" s="294" t="s">
        <v>112</v>
      </c>
      <c r="C33" s="294"/>
      <c r="D33" s="295"/>
      <c r="E33" s="295"/>
      <c r="F33" s="295"/>
      <c r="G33" s="295"/>
      <c r="H33" s="295"/>
      <c r="I33" s="295"/>
      <c r="J33" s="295"/>
      <c r="K33" s="295"/>
      <c r="L33" s="295"/>
      <c r="M33" s="295"/>
    </row>
    <row r="34" spans="1:13" ht="18.75" customHeight="1">
      <c r="A34" s="294" t="s">
        <v>184</v>
      </c>
      <c r="B34" s="294" t="s">
        <v>117</v>
      </c>
      <c r="C34" s="294"/>
      <c r="D34" s="295"/>
      <c r="E34" s="295"/>
      <c r="F34" s="295"/>
      <c r="G34" s="295"/>
      <c r="H34" s="295"/>
      <c r="I34" s="295"/>
      <c r="J34" s="295"/>
      <c r="K34" s="295"/>
      <c r="L34" s="295"/>
      <c r="M34" s="295"/>
    </row>
    <row r="35" spans="1:13" ht="18.75" customHeight="1">
      <c r="A35" s="294" t="s">
        <v>187</v>
      </c>
      <c r="B35" s="294" t="s">
        <v>121</v>
      </c>
      <c r="C35" s="294"/>
      <c r="D35" s="295"/>
      <c r="E35" s="295"/>
      <c r="F35" s="295"/>
      <c r="G35" s="295"/>
      <c r="H35" s="295"/>
      <c r="I35" s="295"/>
      <c r="J35" s="295"/>
      <c r="K35" s="295"/>
      <c r="L35" s="295"/>
      <c r="M35" s="295"/>
    </row>
    <row r="36" spans="1:13" ht="18.75" customHeight="1">
      <c r="A36" s="294" t="s">
        <v>190</v>
      </c>
      <c r="B36" s="294" t="s">
        <v>126</v>
      </c>
      <c r="C36" s="294"/>
      <c r="D36" s="295"/>
      <c r="E36" s="295"/>
      <c r="F36" s="295"/>
      <c r="G36" s="295"/>
      <c r="H36" s="295"/>
      <c r="I36" s="295"/>
      <c r="J36" s="295"/>
      <c r="K36" s="295"/>
      <c r="L36" s="295"/>
      <c r="M36" s="295"/>
    </row>
    <row r="37" spans="1:13" ht="18.75" customHeight="1">
      <c r="A37" s="294" t="s">
        <v>193</v>
      </c>
      <c r="B37" s="294" t="s">
        <v>130</v>
      </c>
      <c r="C37" s="294"/>
      <c r="D37" s="295"/>
      <c r="E37" s="295"/>
      <c r="F37" s="295"/>
      <c r="G37" s="295"/>
      <c r="H37" s="295"/>
      <c r="I37" s="295" t="s">
        <v>195</v>
      </c>
      <c r="J37" s="295"/>
      <c r="K37" s="295"/>
      <c r="L37" s="295"/>
      <c r="M37" s="295"/>
    </row>
    <row r="38" spans="1:13" ht="18.75" customHeight="1">
      <c r="A38" s="294" t="s">
        <v>196</v>
      </c>
      <c r="B38" s="294" t="s">
        <v>135</v>
      </c>
      <c r="C38" s="294"/>
      <c r="D38" s="295"/>
      <c r="E38" s="295"/>
      <c r="F38" s="295"/>
      <c r="G38" s="295"/>
      <c r="H38" s="295"/>
      <c r="I38" s="295"/>
      <c r="J38" s="295"/>
      <c r="K38" s="295"/>
      <c r="L38" s="295"/>
      <c r="M38" s="295"/>
    </row>
    <row r="39" spans="1:13" ht="27.75" customHeight="1">
      <c r="A39" s="294" t="s">
        <v>199</v>
      </c>
      <c r="B39" s="294" t="s">
        <v>140</v>
      </c>
      <c r="C39" s="294"/>
      <c r="D39" s="295"/>
      <c r="E39" s="295"/>
      <c r="F39" s="295"/>
      <c r="G39" s="295"/>
      <c r="H39" s="295" t="s">
        <v>201</v>
      </c>
      <c r="I39" s="295"/>
      <c r="J39" s="295"/>
      <c r="K39" s="295"/>
      <c r="L39" s="295"/>
      <c r="M39" s="295"/>
    </row>
    <row r="40" spans="1:13" ht="18.75" customHeight="1">
      <c r="A40" s="294" t="s">
        <v>202</v>
      </c>
      <c r="B40" s="294" t="s">
        <v>144</v>
      </c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3" ht="18.75" customHeight="1">
      <c r="A41" s="294" t="s">
        <v>203</v>
      </c>
      <c r="B41" s="294" t="s">
        <v>148</v>
      </c>
      <c r="C41" s="294"/>
      <c r="D41" s="295"/>
      <c r="E41" s="295"/>
      <c r="F41" s="295"/>
      <c r="G41" s="295"/>
      <c r="H41" s="295"/>
      <c r="I41" s="295"/>
      <c r="J41" s="295" t="s">
        <v>205</v>
      </c>
      <c r="K41" s="295"/>
      <c r="L41" s="295"/>
      <c r="M41" s="295"/>
    </row>
    <row r="42" spans="1:13" ht="18.75" customHeight="1">
      <c r="A42" s="294" t="s">
        <v>34</v>
      </c>
      <c r="B42" s="294" t="s">
        <v>35</v>
      </c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295"/>
    </row>
    <row r="43" spans="1:13" ht="18.75" customHeight="1">
      <c r="A43" s="294" t="s">
        <v>206</v>
      </c>
      <c r="B43" s="294" t="s">
        <v>207</v>
      </c>
      <c r="C43" s="294"/>
      <c r="D43" s="295"/>
      <c r="E43" s="295"/>
      <c r="F43" s="295"/>
      <c r="G43" s="295"/>
      <c r="H43" s="295"/>
      <c r="I43" s="295"/>
      <c r="J43" s="295"/>
      <c r="K43" s="295"/>
      <c r="L43" s="295"/>
      <c r="M43" s="295"/>
    </row>
    <row r="44" spans="1:13" ht="27.75" customHeight="1">
      <c r="A44" s="294" t="s">
        <v>208</v>
      </c>
      <c r="B44" s="294" t="s">
        <v>210</v>
      </c>
      <c r="C44" s="294"/>
      <c r="D44" s="295" t="s">
        <v>211</v>
      </c>
      <c r="E44" s="295"/>
      <c r="F44" s="295"/>
      <c r="G44" s="295"/>
      <c r="H44" s="295"/>
      <c r="I44" s="295"/>
      <c r="J44" s="295"/>
      <c r="K44" s="295"/>
      <c r="L44" s="295"/>
      <c r="M44" s="295"/>
    </row>
    <row r="45" spans="1:13" ht="18.75" customHeight="1">
      <c r="A45" s="294" t="s">
        <v>212</v>
      </c>
      <c r="B45" s="294" t="s">
        <v>92</v>
      </c>
      <c r="C45" s="294"/>
      <c r="D45" s="295" t="s">
        <v>214</v>
      </c>
      <c r="E45" s="295"/>
      <c r="F45" s="295"/>
      <c r="G45" s="295"/>
      <c r="H45" s="295"/>
      <c r="I45" s="295"/>
      <c r="J45" s="295"/>
      <c r="K45" s="295"/>
      <c r="L45" s="295"/>
      <c r="M45" s="295"/>
    </row>
    <row r="46" spans="1:13" ht="18.75" customHeight="1">
      <c r="A46" s="294" t="s">
        <v>215</v>
      </c>
      <c r="B46" s="294" t="s">
        <v>166</v>
      </c>
      <c r="C46" s="294"/>
      <c r="D46" s="295" t="s">
        <v>217</v>
      </c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13" ht="18.75" customHeight="1">
      <c r="A47" s="294" t="s">
        <v>218</v>
      </c>
      <c r="B47" s="294" t="s">
        <v>96</v>
      </c>
      <c r="C47" s="294"/>
      <c r="D47" s="295"/>
      <c r="E47" s="295"/>
      <c r="F47" s="295"/>
      <c r="G47" s="295" t="s">
        <v>220</v>
      </c>
      <c r="H47" s="295"/>
      <c r="I47" s="295"/>
      <c r="J47" s="295"/>
      <c r="K47" s="295"/>
      <c r="L47" s="295"/>
      <c r="M47" s="295"/>
    </row>
    <row r="48" ht="7.5" customHeight="1">
      <c r="A48" s="290"/>
    </row>
    <row r="49" spans="1:13" ht="26.25" customHeight="1">
      <c r="A49" s="292" t="s">
        <v>1896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1:13" ht="27.75" customHeight="1">
      <c r="A50" s="293" t="s">
        <v>28</v>
      </c>
      <c r="B50" s="293" t="s">
        <v>69</v>
      </c>
      <c r="C50" s="293"/>
      <c r="D50" s="293" t="s">
        <v>1897</v>
      </c>
      <c r="E50" s="293" t="s">
        <v>1898</v>
      </c>
      <c r="F50" s="293" t="s">
        <v>1899</v>
      </c>
      <c r="G50" s="293" t="s">
        <v>1900</v>
      </c>
      <c r="H50" s="293" t="s">
        <v>1901</v>
      </c>
      <c r="I50" s="293" t="s">
        <v>1902</v>
      </c>
      <c r="J50" s="293" t="s">
        <v>1903</v>
      </c>
      <c r="K50" s="293" t="s">
        <v>1904</v>
      </c>
      <c r="L50" s="293" t="s">
        <v>1905</v>
      </c>
      <c r="M50" s="293"/>
    </row>
    <row r="51" spans="1:13" ht="18.75" customHeight="1">
      <c r="A51" s="294" t="s">
        <v>221</v>
      </c>
      <c r="B51" s="294" t="s">
        <v>102</v>
      </c>
      <c r="C51" s="294"/>
      <c r="D51" s="295"/>
      <c r="E51" s="295"/>
      <c r="F51" s="295"/>
      <c r="G51" s="295"/>
      <c r="H51" s="295"/>
      <c r="I51" s="295"/>
      <c r="J51" s="295"/>
      <c r="K51" s="295"/>
      <c r="L51" s="295"/>
      <c r="M51" s="295"/>
    </row>
    <row r="52" spans="1:13" ht="18.75" customHeight="1">
      <c r="A52" s="294" t="s">
        <v>224</v>
      </c>
      <c r="B52" s="294" t="s">
        <v>226</v>
      </c>
      <c r="C52" s="294"/>
      <c r="D52" s="295"/>
      <c r="E52" s="295"/>
      <c r="F52" s="295"/>
      <c r="G52" s="295"/>
      <c r="H52" s="295" t="s">
        <v>227</v>
      </c>
      <c r="I52" s="295"/>
      <c r="J52" s="295"/>
      <c r="K52" s="295"/>
      <c r="L52" s="295"/>
      <c r="M52" s="295"/>
    </row>
    <row r="53" spans="1:13" ht="18.75" customHeight="1">
      <c r="A53" s="294" t="s">
        <v>228</v>
      </c>
      <c r="B53" s="294" t="s">
        <v>112</v>
      </c>
      <c r="C53" s="294"/>
      <c r="D53" s="295"/>
      <c r="E53" s="295"/>
      <c r="F53" s="295"/>
      <c r="G53" s="295"/>
      <c r="H53" s="295"/>
      <c r="I53" s="295"/>
      <c r="J53" s="295"/>
      <c r="K53" s="295"/>
      <c r="L53" s="295"/>
      <c r="M53" s="295"/>
    </row>
    <row r="54" spans="1:13" ht="18.75" customHeight="1">
      <c r="A54" s="294" t="s">
        <v>230</v>
      </c>
      <c r="B54" s="294" t="s">
        <v>117</v>
      </c>
      <c r="C54" s="294"/>
      <c r="D54" s="295"/>
      <c r="E54" s="295"/>
      <c r="F54" s="295"/>
      <c r="G54" s="295"/>
      <c r="H54" s="295"/>
      <c r="I54" s="295"/>
      <c r="J54" s="295"/>
      <c r="K54" s="295"/>
      <c r="L54" s="295"/>
      <c r="M54" s="295"/>
    </row>
    <row r="55" spans="1:13" ht="18.75" customHeight="1">
      <c r="A55" s="294" t="s">
        <v>233</v>
      </c>
      <c r="B55" s="294" t="s">
        <v>121</v>
      </c>
      <c r="C55" s="294"/>
      <c r="D55" s="295"/>
      <c r="E55" s="295"/>
      <c r="F55" s="295"/>
      <c r="G55" s="295"/>
      <c r="H55" s="295"/>
      <c r="I55" s="295"/>
      <c r="J55" s="295"/>
      <c r="K55" s="295"/>
      <c r="L55" s="295"/>
      <c r="M55" s="295"/>
    </row>
    <row r="56" spans="1:13" ht="18.75" customHeight="1">
      <c r="A56" s="294" t="s">
        <v>236</v>
      </c>
      <c r="B56" s="294" t="s">
        <v>126</v>
      </c>
      <c r="C56" s="294"/>
      <c r="D56" s="295"/>
      <c r="E56" s="295"/>
      <c r="F56" s="295"/>
      <c r="G56" s="295"/>
      <c r="H56" s="295"/>
      <c r="I56" s="295"/>
      <c r="J56" s="295"/>
      <c r="K56" s="295"/>
      <c r="L56" s="295"/>
      <c r="M56" s="295"/>
    </row>
    <row r="57" spans="1:13" ht="18.75" customHeight="1">
      <c r="A57" s="294" t="s">
        <v>239</v>
      </c>
      <c r="B57" s="294" t="s">
        <v>135</v>
      </c>
      <c r="C57" s="294"/>
      <c r="D57" s="295"/>
      <c r="E57" s="295"/>
      <c r="F57" s="295"/>
      <c r="G57" s="295"/>
      <c r="H57" s="295"/>
      <c r="I57" s="295"/>
      <c r="J57" s="295"/>
      <c r="K57" s="295"/>
      <c r="L57" s="295"/>
      <c r="M57" s="295"/>
    </row>
    <row r="58" spans="1:13" ht="18.75" customHeight="1">
      <c r="A58" s="294" t="s">
        <v>242</v>
      </c>
      <c r="B58" s="294" t="s">
        <v>130</v>
      </c>
      <c r="C58" s="294"/>
      <c r="D58" s="295"/>
      <c r="E58" s="295"/>
      <c r="F58" s="295"/>
      <c r="G58" s="295"/>
      <c r="H58" s="295"/>
      <c r="I58" s="295" t="s">
        <v>244</v>
      </c>
      <c r="J58" s="295"/>
      <c r="K58" s="295"/>
      <c r="L58" s="295"/>
      <c r="M58" s="295"/>
    </row>
    <row r="59" spans="1:13" ht="18.75" customHeight="1">
      <c r="A59" s="294" t="s">
        <v>246</v>
      </c>
      <c r="B59" s="294" t="s">
        <v>247</v>
      </c>
      <c r="C59" s="294"/>
      <c r="D59" s="295"/>
      <c r="E59" s="295"/>
      <c r="F59" s="295"/>
      <c r="G59" s="295"/>
      <c r="H59" s="295"/>
      <c r="I59" s="295"/>
      <c r="J59" s="295"/>
      <c r="K59" s="295"/>
      <c r="L59" s="295"/>
      <c r="M59" s="295"/>
    </row>
    <row r="60" spans="1:13" ht="27.75" customHeight="1">
      <c r="A60" s="294" t="s">
        <v>248</v>
      </c>
      <c r="B60" s="294" t="s">
        <v>210</v>
      </c>
      <c r="C60" s="294"/>
      <c r="D60" s="295" t="s">
        <v>250</v>
      </c>
      <c r="E60" s="295"/>
      <c r="F60" s="295"/>
      <c r="G60" s="295"/>
      <c r="H60" s="295"/>
      <c r="I60" s="295"/>
      <c r="J60" s="295"/>
      <c r="K60" s="295"/>
      <c r="L60" s="295"/>
      <c r="M60" s="295"/>
    </row>
    <row r="61" spans="1:13" ht="18.75" customHeight="1">
      <c r="A61" s="294" t="s">
        <v>251</v>
      </c>
      <c r="B61" s="294" t="s">
        <v>92</v>
      </c>
      <c r="C61" s="294"/>
      <c r="D61" s="295" t="s">
        <v>253</v>
      </c>
      <c r="E61" s="295"/>
      <c r="F61" s="295"/>
      <c r="G61" s="295"/>
      <c r="H61" s="295"/>
      <c r="I61" s="295"/>
      <c r="J61" s="295"/>
      <c r="K61" s="295"/>
      <c r="L61" s="295"/>
      <c r="M61" s="295"/>
    </row>
    <row r="62" spans="1:13" ht="18.75" customHeight="1">
      <c r="A62" s="294" t="s">
        <v>254</v>
      </c>
      <c r="B62" s="294" t="s">
        <v>166</v>
      </c>
      <c r="C62" s="294"/>
      <c r="D62" s="295" t="s">
        <v>256</v>
      </c>
      <c r="E62" s="295"/>
      <c r="F62" s="295"/>
      <c r="G62" s="295"/>
      <c r="H62" s="295"/>
      <c r="I62" s="295"/>
      <c r="J62" s="295"/>
      <c r="K62" s="295"/>
      <c r="L62" s="295"/>
      <c r="M62" s="295"/>
    </row>
    <row r="63" spans="1:13" ht="18.75" customHeight="1">
      <c r="A63" s="294" t="s">
        <v>257</v>
      </c>
      <c r="B63" s="294" t="s">
        <v>96</v>
      </c>
      <c r="C63" s="294"/>
      <c r="D63" s="295"/>
      <c r="E63" s="295"/>
      <c r="F63" s="295"/>
      <c r="G63" s="295" t="s">
        <v>259</v>
      </c>
      <c r="H63" s="295"/>
      <c r="I63" s="295"/>
      <c r="J63" s="295"/>
      <c r="K63" s="295"/>
      <c r="L63" s="295"/>
      <c r="M63" s="295"/>
    </row>
    <row r="64" spans="1:13" ht="18.75" customHeight="1">
      <c r="A64" s="294" t="s">
        <v>260</v>
      </c>
      <c r="B64" s="294" t="s">
        <v>102</v>
      </c>
      <c r="C64" s="294"/>
      <c r="D64" s="295"/>
      <c r="E64" s="295"/>
      <c r="F64" s="295"/>
      <c r="G64" s="295"/>
      <c r="H64" s="295"/>
      <c r="I64" s="295"/>
      <c r="J64" s="295"/>
      <c r="K64" s="295"/>
      <c r="L64" s="295"/>
      <c r="M64" s="295"/>
    </row>
    <row r="65" spans="1:13" ht="18.75" customHeight="1">
      <c r="A65" s="294" t="s">
        <v>262</v>
      </c>
      <c r="B65" s="294" t="s">
        <v>226</v>
      </c>
      <c r="C65" s="294"/>
      <c r="D65" s="295"/>
      <c r="E65" s="295"/>
      <c r="F65" s="295"/>
      <c r="G65" s="295"/>
      <c r="H65" s="295" t="s">
        <v>227</v>
      </c>
      <c r="I65" s="295"/>
      <c r="J65" s="295"/>
      <c r="K65" s="295"/>
      <c r="L65" s="295"/>
      <c r="M65" s="295"/>
    </row>
    <row r="66" spans="1:13" ht="18.75" customHeight="1">
      <c r="A66" s="294" t="s">
        <v>264</v>
      </c>
      <c r="B66" s="294" t="s">
        <v>112</v>
      </c>
      <c r="C66" s="294"/>
      <c r="D66" s="295"/>
      <c r="E66" s="295"/>
      <c r="F66" s="295"/>
      <c r="G66" s="295"/>
      <c r="H66" s="295"/>
      <c r="I66" s="295"/>
      <c r="J66" s="295"/>
      <c r="K66" s="295"/>
      <c r="L66" s="295"/>
      <c r="M66" s="295"/>
    </row>
    <row r="67" spans="1:13" ht="18.75" customHeight="1">
      <c r="A67" s="294" t="s">
        <v>265</v>
      </c>
      <c r="B67" s="294" t="s">
        <v>117</v>
      </c>
      <c r="C67" s="294"/>
      <c r="D67" s="295"/>
      <c r="E67" s="295"/>
      <c r="F67" s="295"/>
      <c r="G67" s="295"/>
      <c r="H67" s="295"/>
      <c r="I67" s="295"/>
      <c r="J67" s="295"/>
      <c r="K67" s="295"/>
      <c r="L67" s="295"/>
      <c r="M67" s="295"/>
    </row>
    <row r="68" spans="1:13" ht="18.75" customHeight="1">
      <c r="A68" s="294" t="s">
        <v>267</v>
      </c>
      <c r="B68" s="294" t="s">
        <v>121</v>
      </c>
      <c r="C68" s="294"/>
      <c r="D68" s="295"/>
      <c r="E68" s="295"/>
      <c r="F68" s="295"/>
      <c r="G68" s="295"/>
      <c r="H68" s="295"/>
      <c r="I68" s="295"/>
      <c r="J68" s="295"/>
      <c r="K68" s="295"/>
      <c r="L68" s="295"/>
      <c r="M68" s="295"/>
    </row>
    <row r="69" spans="1:13" ht="18.75" customHeight="1">
      <c r="A69" s="294" t="s">
        <v>270</v>
      </c>
      <c r="B69" s="294" t="s">
        <v>126</v>
      </c>
      <c r="C69" s="294"/>
      <c r="D69" s="295"/>
      <c r="E69" s="295"/>
      <c r="F69" s="295"/>
      <c r="G69" s="295"/>
      <c r="H69" s="295"/>
      <c r="I69" s="295"/>
      <c r="J69" s="295"/>
      <c r="K69" s="295"/>
      <c r="L69" s="295"/>
      <c r="M69" s="295"/>
    </row>
    <row r="70" spans="1:13" ht="18.75" customHeight="1">
      <c r="A70" s="294" t="s">
        <v>273</v>
      </c>
      <c r="B70" s="294" t="s">
        <v>135</v>
      </c>
      <c r="C70" s="294"/>
      <c r="D70" s="295"/>
      <c r="E70" s="295"/>
      <c r="F70" s="295"/>
      <c r="G70" s="295"/>
      <c r="H70" s="295"/>
      <c r="I70" s="295"/>
      <c r="J70" s="295"/>
      <c r="K70" s="295"/>
      <c r="L70" s="295"/>
      <c r="M70" s="295"/>
    </row>
    <row r="71" spans="1:13" ht="18.75" customHeight="1">
      <c r="A71" s="294" t="s">
        <v>275</v>
      </c>
      <c r="B71" s="294" t="s">
        <v>130</v>
      </c>
      <c r="C71" s="294"/>
      <c r="D71" s="295"/>
      <c r="E71" s="295"/>
      <c r="F71" s="295"/>
      <c r="G71" s="295"/>
      <c r="H71" s="295"/>
      <c r="I71" s="295" t="s">
        <v>244</v>
      </c>
      <c r="J71" s="295"/>
      <c r="K71" s="295"/>
      <c r="L71" s="295"/>
      <c r="M71" s="295"/>
    </row>
    <row r="72" ht="7.5" customHeight="1">
      <c r="A72" s="290"/>
    </row>
    <row r="73" spans="1:13" ht="26.25" customHeight="1">
      <c r="A73" s="292" t="s">
        <v>1896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</row>
    <row r="74" spans="1:13" ht="27.75" customHeight="1">
      <c r="A74" s="293" t="s">
        <v>28</v>
      </c>
      <c r="B74" s="293" t="s">
        <v>69</v>
      </c>
      <c r="C74" s="293"/>
      <c r="D74" s="293" t="s">
        <v>1897</v>
      </c>
      <c r="E74" s="293" t="s">
        <v>1898</v>
      </c>
      <c r="F74" s="293" t="s">
        <v>1899</v>
      </c>
      <c r="G74" s="293" t="s">
        <v>1900</v>
      </c>
      <c r="H74" s="293" t="s">
        <v>1901</v>
      </c>
      <c r="I74" s="293" t="s">
        <v>1902</v>
      </c>
      <c r="J74" s="293" t="s">
        <v>1903</v>
      </c>
      <c r="K74" s="293" t="s">
        <v>1904</v>
      </c>
      <c r="L74" s="293" t="s">
        <v>1905</v>
      </c>
      <c r="M74" s="293"/>
    </row>
    <row r="75" spans="1:13" ht="18.75" customHeight="1">
      <c r="A75" s="294" t="s">
        <v>37</v>
      </c>
      <c r="B75" s="294" t="s">
        <v>38</v>
      </c>
      <c r="C75" s="294"/>
      <c r="D75" s="295"/>
      <c r="E75" s="295"/>
      <c r="F75" s="295"/>
      <c r="G75" s="295"/>
      <c r="H75" s="295"/>
      <c r="I75" s="295"/>
      <c r="J75" s="295"/>
      <c r="K75" s="295"/>
      <c r="L75" s="295"/>
      <c r="M75" s="295"/>
    </row>
    <row r="76" spans="1:13" ht="27.75" customHeight="1">
      <c r="A76" s="294" t="s">
        <v>277</v>
      </c>
      <c r="B76" s="294" t="s">
        <v>210</v>
      </c>
      <c r="C76" s="294"/>
      <c r="D76" s="295" t="s">
        <v>279</v>
      </c>
      <c r="E76" s="295"/>
      <c r="F76" s="295"/>
      <c r="G76" s="295"/>
      <c r="H76" s="295"/>
      <c r="I76" s="295"/>
      <c r="J76" s="295"/>
      <c r="K76" s="295"/>
      <c r="L76" s="295"/>
      <c r="M76" s="295"/>
    </row>
    <row r="77" spans="1:13" ht="18.75" customHeight="1">
      <c r="A77" s="294" t="s">
        <v>280</v>
      </c>
      <c r="B77" s="294" t="s">
        <v>92</v>
      </c>
      <c r="C77" s="294"/>
      <c r="D77" s="295" t="s">
        <v>282</v>
      </c>
      <c r="E77" s="295"/>
      <c r="F77" s="295"/>
      <c r="G77" s="295"/>
      <c r="H77" s="295"/>
      <c r="I77" s="295"/>
      <c r="J77" s="295"/>
      <c r="K77" s="295"/>
      <c r="L77" s="295"/>
      <c r="M77" s="295"/>
    </row>
    <row r="78" spans="1:13" ht="18.75" customHeight="1">
      <c r="A78" s="294" t="s">
        <v>283</v>
      </c>
      <c r="B78" s="294" t="s">
        <v>96</v>
      </c>
      <c r="C78" s="294"/>
      <c r="D78" s="295"/>
      <c r="E78" s="295"/>
      <c r="F78" s="295"/>
      <c r="G78" s="295" t="s">
        <v>285</v>
      </c>
      <c r="H78" s="295"/>
      <c r="I78" s="295"/>
      <c r="J78" s="295"/>
      <c r="K78" s="295"/>
      <c r="L78" s="295"/>
      <c r="M78" s="295"/>
    </row>
    <row r="79" spans="1:13" ht="18.75" customHeight="1">
      <c r="A79" s="294" t="s">
        <v>286</v>
      </c>
      <c r="B79" s="294" t="s">
        <v>288</v>
      </c>
      <c r="C79" s="294"/>
      <c r="D79" s="295"/>
      <c r="E79" s="295"/>
      <c r="F79" s="295"/>
      <c r="G79" s="295"/>
      <c r="H79" s="295"/>
      <c r="I79" s="295"/>
      <c r="J79" s="295"/>
      <c r="K79" s="295"/>
      <c r="L79" s="295"/>
      <c r="M79" s="295"/>
    </row>
    <row r="80" spans="1:13" ht="18.75" customHeight="1">
      <c r="A80" s="294" t="s">
        <v>290</v>
      </c>
      <c r="B80" s="294" t="s">
        <v>292</v>
      </c>
      <c r="C80" s="294"/>
      <c r="D80" s="295"/>
      <c r="E80" s="295"/>
      <c r="F80" s="295"/>
      <c r="G80" s="295"/>
      <c r="H80" s="295" t="s">
        <v>293</v>
      </c>
      <c r="I80" s="295"/>
      <c r="J80" s="295"/>
      <c r="K80" s="295"/>
      <c r="L80" s="295"/>
      <c r="M80" s="295"/>
    </row>
    <row r="81" spans="1:13" ht="18.75" customHeight="1">
      <c r="A81" s="294" t="s">
        <v>294</v>
      </c>
      <c r="B81" s="294" t="s">
        <v>296</v>
      </c>
      <c r="C81" s="294"/>
      <c r="D81" s="295"/>
      <c r="E81" s="295"/>
      <c r="F81" s="295"/>
      <c r="G81" s="295"/>
      <c r="H81" s="295"/>
      <c r="I81" s="295"/>
      <c r="J81" s="295"/>
      <c r="K81" s="295"/>
      <c r="L81" s="295"/>
      <c r="M81" s="295"/>
    </row>
    <row r="82" spans="1:13" ht="27.75" customHeight="1">
      <c r="A82" s="294" t="s">
        <v>298</v>
      </c>
      <c r="B82" s="294" t="s">
        <v>300</v>
      </c>
      <c r="C82" s="294"/>
      <c r="D82" s="295"/>
      <c r="E82" s="295"/>
      <c r="F82" s="295"/>
      <c r="G82" s="295"/>
      <c r="H82" s="295"/>
      <c r="I82" s="295"/>
      <c r="J82" s="295"/>
      <c r="K82" s="295"/>
      <c r="L82" s="295"/>
      <c r="M82" s="295"/>
    </row>
    <row r="83" spans="1:13" ht="27.75" customHeight="1">
      <c r="A83" s="294" t="s">
        <v>303</v>
      </c>
      <c r="B83" s="294" t="s">
        <v>305</v>
      </c>
      <c r="C83" s="294"/>
      <c r="D83" s="295"/>
      <c r="E83" s="295"/>
      <c r="F83" s="295"/>
      <c r="G83" s="295"/>
      <c r="H83" s="295"/>
      <c r="I83" s="295"/>
      <c r="J83" s="295"/>
      <c r="K83" s="295"/>
      <c r="L83" s="295"/>
      <c r="M83" s="295"/>
    </row>
    <row r="84" spans="1:13" ht="27.75" customHeight="1">
      <c r="A84" s="294" t="s">
        <v>307</v>
      </c>
      <c r="B84" s="294" t="s">
        <v>309</v>
      </c>
      <c r="C84" s="294"/>
      <c r="D84" s="295"/>
      <c r="E84" s="295"/>
      <c r="F84" s="295"/>
      <c r="G84" s="295"/>
      <c r="H84" s="295"/>
      <c r="I84" s="295"/>
      <c r="J84" s="295"/>
      <c r="K84" s="295"/>
      <c r="L84" s="295"/>
      <c r="M84" s="295"/>
    </row>
    <row r="85" spans="1:13" ht="27.75" customHeight="1">
      <c r="A85" s="294" t="s">
        <v>310</v>
      </c>
      <c r="B85" s="294" t="s">
        <v>312</v>
      </c>
      <c r="C85" s="294"/>
      <c r="D85" s="295"/>
      <c r="E85" s="295"/>
      <c r="F85" s="295"/>
      <c r="G85" s="295"/>
      <c r="H85" s="295"/>
      <c r="I85" s="295"/>
      <c r="J85" s="295"/>
      <c r="K85" s="295"/>
      <c r="L85" s="295"/>
      <c r="M85" s="295"/>
    </row>
    <row r="86" spans="1:13" ht="18.75" customHeight="1">
      <c r="A86" s="294" t="s">
        <v>315</v>
      </c>
      <c r="B86" s="294" t="s">
        <v>317</v>
      </c>
      <c r="C86" s="294"/>
      <c r="D86" s="295"/>
      <c r="E86" s="295"/>
      <c r="F86" s="295"/>
      <c r="G86" s="295"/>
      <c r="H86" s="295" t="s">
        <v>318</v>
      </c>
      <c r="I86" s="295"/>
      <c r="J86" s="295"/>
      <c r="K86" s="295"/>
      <c r="L86" s="295"/>
      <c r="M86" s="295"/>
    </row>
    <row r="87" spans="1:13" ht="18.75" customHeight="1">
      <c r="A87" s="294" t="s">
        <v>319</v>
      </c>
      <c r="B87" s="294" t="s">
        <v>321</v>
      </c>
      <c r="C87" s="294"/>
      <c r="D87" s="295"/>
      <c r="E87" s="295"/>
      <c r="F87" s="295"/>
      <c r="G87" s="295"/>
      <c r="H87" s="295" t="s">
        <v>322</v>
      </c>
      <c r="I87" s="295"/>
      <c r="J87" s="295"/>
      <c r="K87" s="295"/>
      <c r="L87" s="295"/>
      <c r="M87" s="295"/>
    </row>
    <row r="88" spans="1:13" ht="18.75" customHeight="1">
      <c r="A88" s="294" t="s">
        <v>323</v>
      </c>
      <c r="B88" s="294" t="s">
        <v>130</v>
      </c>
      <c r="C88" s="294"/>
      <c r="D88" s="295"/>
      <c r="E88" s="295"/>
      <c r="F88" s="295"/>
      <c r="G88" s="295"/>
      <c r="H88" s="295"/>
      <c r="I88" s="295" t="s">
        <v>325</v>
      </c>
      <c r="J88" s="295"/>
      <c r="K88" s="295"/>
      <c r="L88" s="295"/>
      <c r="M88" s="295"/>
    </row>
    <row r="89" spans="1:13" ht="18.75" customHeight="1">
      <c r="A89" s="294" t="s">
        <v>40</v>
      </c>
      <c r="B89" s="294" t="s">
        <v>41</v>
      </c>
      <c r="C89" s="294"/>
      <c r="D89" s="295"/>
      <c r="E89" s="295"/>
      <c r="F89" s="295"/>
      <c r="G89" s="295"/>
      <c r="H89" s="295"/>
      <c r="I89" s="295"/>
      <c r="J89" s="295"/>
      <c r="K89" s="295"/>
      <c r="L89" s="295"/>
      <c r="M89" s="295"/>
    </row>
    <row r="90" spans="1:13" ht="27.75" customHeight="1">
      <c r="A90" s="294" t="s">
        <v>326</v>
      </c>
      <c r="B90" s="294" t="s">
        <v>328</v>
      </c>
      <c r="C90" s="294"/>
      <c r="D90" s="295"/>
      <c r="E90" s="295"/>
      <c r="F90" s="295"/>
      <c r="G90" s="295"/>
      <c r="H90" s="295"/>
      <c r="I90" s="295"/>
      <c r="J90" s="295"/>
      <c r="K90" s="295"/>
      <c r="L90" s="295"/>
      <c r="M90" s="295"/>
    </row>
    <row r="91" spans="1:13" ht="27.75" customHeight="1">
      <c r="A91" s="294" t="s">
        <v>331</v>
      </c>
      <c r="B91" s="294" t="s">
        <v>333</v>
      </c>
      <c r="C91" s="294"/>
      <c r="D91" s="295"/>
      <c r="E91" s="295"/>
      <c r="F91" s="295"/>
      <c r="G91" s="295"/>
      <c r="H91" s="295"/>
      <c r="I91" s="295"/>
      <c r="J91" s="295"/>
      <c r="K91" s="295"/>
      <c r="L91" s="295"/>
      <c r="M91" s="295"/>
    </row>
    <row r="92" spans="1:13" ht="18.75" customHeight="1">
      <c r="A92" s="294" t="s">
        <v>43</v>
      </c>
      <c r="B92" s="294" t="s">
        <v>44</v>
      </c>
      <c r="C92" s="294"/>
      <c r="D92" s="295"/>
      <c r="E92" s="295"/>
      <c r="F92" s="295"/>
      <c r="G92" s="295"/>
      <c r="H92" s="295"/>
      <c r="I92" s="295"/>
      <c r="J92" s="295"/>
      <c r="K92" s="295"/>
      <c r="L92" s="295"/>
      <c r="M92" s="295"/>
    </row>
    <row r="93" ht="7.5" customHeight="1">
      <c r="A93" s="290"/>
    </row>
    <row r="94" spans="1:13" ht="26.25" customHeight="1">
      <c r="A94" s="292" t="s">
        <v>1896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</row>
    <row r="95" spans="1:13" ht="27.75" customHeight="1">
      <c r="A95" s="293" t="s">
        <v>28</v>
      </c>
      <c r="B95" s="293" t="s">
        <v>69</v>
      </c>
      <c r="C95" s="293"/>
      <c r="D95" s="293" t="s">
        <v>1897</v>
      </c>
      <c r="E95" s="293" t="s">
        <v>1898</v>
      </c>
      <c r="F95" s="293" t="s">
        <v>1899</v>
      </c>
      <c r="G95" s="293" t="s">
        <v>1900</v>
      </c>
      <c r="H95" s="293" t="s">
        <v>1901</v>
      </c>
      <c r="I95" s="293" t="s">
        <v>1902</v>
      </c>
      <c r="J95" s="293" t="s">
        <v>1903</v>
      </c>
      <c r="K95" s="293" t="s">
        <v>1904</v>
      </c>
      <c r="L95" s="293" t="s">
        <v>1905</v>
      </c>
      <c r="M95" s="293"/>
    </row>
    <row r="96" spans="1:13" ht="18.75" customHeight="1">
      <c r="A96" s="294" t="s">
        <v>46</v>
      </c>
      <c r="B96" s="294" t="s">
        <v>47</v>
      </c>
      <c r="C96" s="294"/>
      <c r="D96" s="295"/>
      <c r="E96" s="295"/>
      <c r="F96" s="295"/>
      <c r="G96" s="295"/>
      <c r="H96" s="295"/>
      <c r="I96" s="295"/>
      <c r="J96" s="295"/>
      <c r="K96" s="295"/>
      <c r="L96" s="295"/>
      <c r="M96" s="295"/>
    </row>
    <row r="97" spans="1:13" ht="27.75" customHeight="1">
      <c r="A97" s="294" t="s">
        <v>341</v>
      </c>
      <c r="B97" s="294" t="s">
        <v>343</v>
      </c>
      <c r="C97" s="294"/>
      <c r="D97" s="295"/>
      <c r="E97" s="295"/>
      <c r="F97" s="295"/>
      <c r="G97" s="295"/>
      <c r="H97" s="295"/>
      <c r="I97" s="295"/>
      <c r="J97" s="295"/>
      <c r="K97" s="295"/>
      <c r="L97" s="295"/>
      <c r="M97" s="295"/>
    </row>
    <row r="98" spans="1:13" ht="27.75" customHeight="1">
      <c r="A98" s="294" t="s">
        <v>89</v>
      </c>
      <c r="B98" s="294" t="s">
        <v>346</v>
      </c>
      <c r="C98" s="294"/>
      <c r="D98" s="295"/>
      <c r="E98" s="295"/>
      <c r="F98" s="295"/>
      <c r="G98" s="295"/>
      <c r="H98" s="295"/>
      <c r="I98" s="295"/>
      <c r="J98" s="295"/>
      <c r="K98" s="295"/>
      <c r="L98" s="295"/>
      <c r="M98" s="295"/>
    </row>
    <row r="99" spans="1:13" ht="18.75" customHeight="1">
      <c r="A99" s="294" t="s">
        <v>49</v>
      </c>
      <c r="B99" s="294" t="s">
        <v>50</v>
      </c>
      <c r="C99" s="294"/>
      <c r="D99" s="295"/>
      <c r="E99" s="295"/>
      <c r="F99" s="295"/>
      <c r="G99" s="295"/>
      <c r="H99" s="295"/>
      <c r="I99" s="295"/>
      <c r="J99" s="295"/>
      <c r="K99" s="295"/>
      <c r="L99" s="295"/>
      <c r="M99" s="295"/>
    </row>
    <row r="100" spans="1:13" ht="18.75" customHeight="1">
      <c r="A100" s="294" t="s">
        <v>52</v>
      </c>
      <c r="B100" s="294" t="s">
        <v>53</v>
      </c>
      <c r="C100" s="294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</row>
    <row r="101" spans="1:13" ht="18.75" customHeight="1">
      <c r="A101" s="294" t="s">
        <v>55</v>
      </c>
      <c r="B101" s="294" t="s">
        <v>56</v>
      </c>
      <c r="C101" s="294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</row>
    <row r="102" spans="1:13" ht="18.75" customHeight="1">
      <c r="A102" s="294"/>
      <c r="B102" s="294" t="s">
        <v>64</v>
      </c>
      <c r="C102" s="294"/>
      <c r="D102" s="295" t="s">
        <v>1906</v>
      </c>
      <c r="E102" s="295"/>
      <c r="F102" s="295"/>
      <c r="G102" s="295" t="s">
        <v>1907</v>
      </c>
      <c r="H102" s="295" t="s">
        <v>1908</v>
      </c>
      <c r="I102" s="295" t="s">
        <v>1909</v>
      </c>
      <c r="J102" s="295" t="s">
        <v>1910</v>
      </c>
      <c r="K102" s="295"/>
      <c r="L102" s="295"/>
      <c r="M102" s="295"/>
    </row>
    <row r="103" spans="1:13" ht="18.75" customHeight="1">
      <c r="A103" s="294"/>
      <c r="B103" s="294"/>
      <c r="C103" s="294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</row>
    <row r="104" spans="1:13" ht="18.75" customHeight="1">
      <c r="A104" s="294"/>
      <c r="B104" s="294"/>
      <c r="C104" s="294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</row>
    <row r="105" spans="1:13" ht="18.75" customHeight="1">
      <c r="A105" s="294"/>
      <c r="B105" s="294"/>
      <c r="C105" s="294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</row>
    <row r="106" spans="1:13" ht="18.75" customHeight="1">
      <c r="A106" s="294"/>
      <c r="B106" s="294"/>
      <c r="C106" s="294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</row>
    <row r="107" spans="1:13" ht="18.75" customHeight="1">
      <c r="A107" s="294"/>
      <c r="B107" s="294"/>
      <c r="C107" s="294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</row>
    <row r="108" spans="1:13" ht="18.75" customHeight="1">
      <c r="A108" s="294"/>
      <c r="B108" s="294"/>
      <c r="C108" s="294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</row>
    <row r="109" spans="1:13" ht="18.75" customHeight="1">
      <c r="A109" s="294"/>
      <c r="B109" s="294"/>
      <c r="C109" s="294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</row>
    <row r="110" spans="1:13" ht="18.75" customHeight="1">
      <c r="A110" s="294"/>
      <c r="B110" s="294"/>
      <c r="C110" s="294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</row>
    <row r="111" spans="1:13" ht="18.75" customHeight="1">
      <c r="A111" s="294"/>
      <c r="B111" s="294"/>
      <c r="C111" s="294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</row>
    <row r="112" spans="1:13" ht="18.75" customHeight="1">
      <c r="A112" s="294"/>
      <c r="B112" s="294"/>
      <c r="C112" s="294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</row>
    <row r="113" spans="1:13" ht="18.75" customHeight="1">
      <c r="A113" s="294"/>
      <c r="B113" s="294"/>
      <c r="C113" s="294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</row>
    <row r="114" spans="1:13" ht="18.75" customHeight="1">
      <c r="A114" s="294"/>
      <c r="B114" s="294"/>
      <c r="C114" s="294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</row>
    <row r="115" spans="1:13" ht="18.75" customHeight="1">
      <c r="A115" s="294"/>
      <c r="B115" s="294"/>
      <c r="C115" s="294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</row>
    <row r="116" spans="1:13" ht="18.75" customHeight="1">
      <c r="A116" s="294"/>
      <c r="B116" s="294"/>
      <c r="C116" s="294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</row>
  </sheetData>
  <mergeCells count="111">
    <mergeCell ref="A2:M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5:M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M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3:M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4:M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</mergeCells>
  <printOptions horizontalCentered="1"/>
  <pageMargins left="0" right="0" top="0.9055099999999999" bottom="0" header="0.55118" footer="0.3937"/>
  <pageSetup firstPageNumber="59" useFirstPageNumber="1" horizontalDpi="300" verticalDpi="300" orientation="landscape" pageOrder="overThenDown" paperSize="9"/>
  <headerFooter alignWithMargins="0">
    <oddFooter>&amp;L&amp;C&amp;P&amp;R</oddFooter>
  </headerFooter>
  <rowBreaks count="4" manualBreakCount="4">
    <brk id="23" max="255" man="1"/>
    <brk id="47" max="255" man="1"/>
    <brk id="71" max="255" man="1"/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234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3.57421875" style="0" customWidth="1"/>
    <col min="3" max="3" width="25.7109375" style="0" customWidth="1"/>
    <col min="4" max="13" width="9.28125" style="0" customWidth="1"/>
    <col min="14" max="14" width="11.00390625" style="0" customWidth="1"/>
  </cols>
  <sheetData>
    <row r="1" spans="1:13" ht="7.5" customHeight="1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26.25" customHeight="1">
      <c r="A2" s="319" t="s">
        <v>1911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4" ht="27.75" customHeight="1">
      <c r="A3" s="320" t="s">
        <v>28</v>
      </c>
      <c r="B3" s="320" t="s">
        <v>69</v>
      </c>
      <c r="C3" s="320"/>
      <c r="D3" s="320" t="s">
        <v>1912</v>
      </c>
      <c r="E3" s="320" t="s">
        <v>1903</v>
      </c>
      <c r="F3" s="320" t="s">
        <v>1913</v>
      </c>
      <c r="G3" s="320" t="s">
        <v>1914</v>
      </c>
      <c r="H3" s="320" t="s">
        <v>1915</v>
      </c>
      <c r="I3" s="320" t="s">
        <v>1916</v>
      </c>
      <c r="J3" s="320" t="s">
        <v>1917</v>
      </c>
      <c r="K3" s="320" t="s">
        <v>1918</v>
      </c>
      <c r="L3" s="320" t="s">
        <v>1919</v>
      </c>
      <c r="M3" s="320" t="s">
        <v>1920</v>
      </c>
    </row>
    <row r="4" spans="1:14" ht="18.75" customHeight="1">
      <c r="A4" s="321" t="s">
        <v>31</v>
      </c>
      <c r="B4" s="321" t="s">
        <v>32</v>
      </c>
      <c r="C4" s="321"/>
      <c r="D4" s="322" t="s">
        <v>1921</v>
      </c>
      <c r="E4" s="322" t="s">
        <v>1922</v>
      </c>
      <c r="F4" s="322" t="s">
        <v>1923</v>
      </c>
      <c r="G4" s="322" t="s">
        <v>1924</v>
      </c>
      <c r="H4" s="322"/>
      <c r="I4" s="322" t="s">
        <v>1925</v>
      </c>
      <c r="J4" s="322" t="s">
        <v>1926</v>
      </c>
      <c r="K4" s="322"/>
      <c r="L4" s="322" t="s">
        <v>1927</v>
      </c>
      <c r="M4" s="322" t="s">
        <v>1928</v>
      </c>
    </row>
    <row r="5" spans="1:14" ht="18.75" customHeight="1">
      <c r="A5" s="321" t="s">
        <v>76</v>
      </c>
      <c r="B5" s="321" t="s">
        <v>77</v>
      </c>
      <c r="C5" s="321"/>
      <c r="D5" s="322" t="s">
        <v>1929</v>
      </c>
      <c r="E5" s="322" t="s">
        <v>1930</v>
      </c>
      <c r="F5" s="322" t="s">
        <v>1931</v>
      </c>
      <c r="G5" s="322" t="s">
        <v>1932</v>
      </c>
      <c r="H5" s="322"/>
      <c r="I5" s="322" t="s">
        <v>1933</v>
      </c>
      <c r="J5" s="322" t="s">
        <v>1934</v>
      </c>
      <c r="K5" s="322"/>
      <c r="L5" s="322" t="s">
        <v>1935</v>
      </c>
      <c r="M5" s="322" t="s">
        <v>1936</v>
      </c>
    </row>
    <row r="6" spans="1:14" ht="18.75" customHeight="1">
      <c r="A6" s="321" t="s">
        <v>78</v>
      </c>
      <c r="B6" s="321" t="s">
        <v>80</v>
      </c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2" t="s">
        <v>1937</v>
      </c>
    </row>
    <row r="7" spans="1:13" ht="18.75" customHeight="1">
      <c r="A7" s="321" t="s">
        <v>84</v>
      </c>
      <c r="B7" s="321" t="s">
        <v>86</v>
      </c>
      <c r="C7" s="321"/>
      <c r="D7" s="322"/>
      <c r="E7" s="322"/>
      <c r="F7" s="322"/>
      <c r="G7" s="322"/>
      <c r="H7" s="322"/>
      <c r="I7" s="322"/>
      <c r="J7" s="322"/>
      <c r="K7" s="322"/>
      <c r="L7" s="322"/>
      <c r="M7" s="322"/>
    </row>
    <row r="8" spans="1:14" ht="18.75" customHeight="1">
      <c r="A8" s="321" t="s">
        <v>90</v>
      </c>
      <c r="B8" s="321" t="s">
        <v>92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 t="s">
        <v>1938</v>
      </c>
    </row>
    <row r="9" spans="1:14" ht="18.75" customHeight="1">
      <c r="A9" s="321" t="s">
        <v>94</v>
      </c>
      <c r="B9" s="321" t="s">
        <v>96</v>
      </c>
      <c r="C9" s="321"/>
      <c r="D9" s="322"/>
      <c r="E9" s="322"/>
      <c r="F9" s="322"/>
      <c r="G9" s="322"/>
      <c r="H9" s="322"/>
      <c r="I9" s="322"/>
      <c r="J9" s="322"/>
      <c r="K9" s="322"/>
      <c r="L9" s="322"/>
      <c r="M9" s="322" t="s">
        <v>1939</v>
      </c>
    </row>
    <row r="10" spans="1:13" ht="18.75" customHeight="1">
      <c r="A10" s="321" t="s">
        <v>100</v>
      </c>
      <c r="B10" s="321" t="s">
        <v>102</v>
      </c>
      <c r="C10" s="321"/>
      <c r="D10" s="322"/>
      <c r="E10" s="322"/>
      <c r="F10" s="322"/>
      <c r="G10" s="322"/>
      <c r="H10" s="322"/>
      <c r="I10" s="322" t="s">
        <v>1933</v>
      </c>
      <c r="J10" s="322"/>
      <c r="K10" s="322"/>
      <c r="L10" s="322"/>
      <c r="M10" s="322"/>
    </row>
    <row r="11" spans="1:13" ht="18.75" customHeight="1">
      <c r="A11" s="321" t="s">
        <v>106</v>
      </c>
      <c r="B11" s="321" t="s">
        <v>108</v>
      </c>
      <c r="C11" s="321"/>
      <c r="D11" s="322" t="s">
        <v>1940</v>
      </c>
      <c r="E11" s="322"/>
      <c r="F11" s="322"/>
      <c r="G11" s="322"/>
      <c r="H11" s="322"/>
      <c r="I11" s="322"/>
      <c r="J11" s="322" t="s">
        <v>1941</v>
      </c>
      <c r="K11" s="322"/>
      <c r="L11" s="322"/>
      <c r="M11" s="322"/>
    </row>
    <row r="12" spans="1:13" ht="18.75" customHeight="1">
      <c r="A12" s="321" t="s">
        <v>111</v>
      </c>
      <c r="B12" s="321" t="s">
        <v>112</v>
      </c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</row>
    <row r="13" spans="1:13" ht="18.75" customHeight="1">
      <c r="A13" s="321" t="s">
        <v>115</v>
      </c>
      <c r="B13" s="321" t="s">
        <v>117</v>
      </c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</row>
    <row r="14" spans="1:13" ht="18.75" customHeight="1">
      <c r="A14" s="321" t="s">
        <v>119</v>
      </c>
      <c r="B14" s="321" t="s">
        <v>121</v>
      </c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2"/>
    </row>
    <row r="15" spans="1:14" ht="18.75" customHeight="1">
      <c r="A15" s="321" t="s">
        <v>124</v>
      </c>
      <c r="B15" s="321" t="s">
        <v>126</v>
      </c>
      <c r="C15" s="321"/>
      <c r="D15" s="322"/>
      <c r="E15" s="322"/>
      <c r="F15" s="322"/>
      <c r="G15" s="322"/>
      <c r="H15" s="322"/>
      <c r="I15" s="322"/>
      <c r="J15" s="322"/>
      <c r="K15" s="322"/>
      <c r="L15" s="322"/>
      <c r="M15" s="322" t="s">
        <v>1942</v>
      </c>
    </row>
    <row r="16" spans="1:13" ht="18.75" customHeight="1">
      <c r="A16" s="321" t="s">
        <v>128</v>
      </c>
      <c r="B16" s="321" t="s">
        <v>130</v>
      </c>
      <c r="C16" s="321"/>
      <c r="D16" s="322"/>
      <c r="E16" s="322"/>
      <c r="F16" s="322" t="s">
        <v>1931</v>
      </c>
      <c r="G16" s="322"/>
      <c r="H16" s="322"/>
      <c r="I16" s="322"/>
      <c r="J16" s="322"/>
      <c r="K16" s="322"/>
      <c r="L16" s="322" t="s">
        <v>1943</v>
      </c>
      <c r="M16" s="322"/>
    </row>
    <row r="17" spans="1:13" ht="18.75" customHeight="1">
      <c r="A17" s="321" t="s">
        <v>133</v>
      </c>
      <c r="B17" s="321" t="s">
        <v>135</v>
      </c>
      <c r="C17" s="321"/>
      <c r="D17" s="322"/>
      <c r="E17" s="322"/>
      <c r="F17" s="322"/>
      <c r="G17" s="322" t="s">
        <v>1944</v>
      </c>
      <c r="H17" s="322"/>
      <c r="I17" s="322"/>
      <c r="J17" s="322"/>
      <c r="K17" s="322"/>
      <c r="L17" s="322"/>
      <c r="M17" s="322"/>
    </row>
    <row r="18" spans="1:14" ht="27.75" customHeight="1">
      <c r="A18" s="321" t="s">
        <v>138</v>
      </c>
      <c r="B18" s="321" t="s">
        <v>140</v>
      </c>
      <c r="C18" s="321"/>
      <c r="D18" s="322" t="s">
        <v>1945</v>
      </c>
      <c r="E18" s="322"/>
      <c r="F18" s="322"/>
      <c r="G18" s="322" t="s">
        <v>1946</v>
      </c>
      <c r="H18" s="322"/>
      <c r="I18" s="322"/>
      <c r="J18" s="322" t="s">
        <v>1947</v>
      </c>
      <c r="K18" s="322"/>
      <c r="L18" s="322" t="s">
        <v>1948</v>
      </c>
      <c r="M18" s="322" t="s">
        <v>1949</v>
      </c>
    </row>
    <row r="19" spans="1:14" ht="18.75" customHeight="1">
      <c r="A19" s="321" t="s">
        <v>143</v>
      </c>
      <c r="B19" s="321" t="s">
        <v>144</v>
      </c>
      <c r="C19" s="321"/>
      <c r="D19" s="322"/>
      <c r="E19" s="322"/>
      <c r="F19" s="322"/>
      <c r="G19" s="322" t="s">
        <v>1946</v>
      </c>
      <c r="H19" s="322"/>
      <c r="I19" s="322"/>
      <c r="J19" s="322"/>
      <c r="K19" s="322"/>
      <c r="L19" s="322"/>
      <c r="M19" s="322" t="s">
        <v>1950</v>
      </c>
    </row>
    <row r="20" spans="1:13" ht="18.75" customHeight="1">
      <c r="A20" s="321" t="s">
        <v>146</v>
      </c>
      <c r="B20" s="321" t="s">
        <v>148</v>
      </c>
      <c r="C20" s="321"/>
      <c r="D20" s="322"/>
      <c r="E20" s="322" t="s">
        <v>1930</v>
      </c>
      <c r="F20" s="322"/>
      <c r="G20" s="322"/>
      <c r="H20" s="322"/>
      <c r="I20" s="322"/>
      <c r="J20" s="322"/>
      <c r="K20" s="322"/>
      <c r="L20" s="322" t="s">
        <v>1951</v>
      </c>
      <c r="M20" s="322"/>
    </row>
    <row r="21" spans="1:14" ht="18.75" customHeight="1">
      <c r="A21" s="321" t="s">
        <v>152</v>
      </c>
      <c r="B21" s="321" t="s">
        <v>153</v>
      </c>
      <c r="C21" s="321"/>
      <c r="D21" s="322" t="s">
        <v>1952</v>
      </c>
      <c r="E21" s="322" t="s">
        <v>1953</v>
      </c>
      <c r="F21" s="322" t="s">
        <v>1954</v>
      </c>
      <c r="G21" s="322" t="s">
        <v>1955</v>
      </c>
      <c r="H21" s="322"/>
      <c r="I21" s="322" t="s">
        <v>1956</v>
      </c>
      <c r="J21" s="322" t="s">
        <v>1957</v>
      </c>
      <c r="K21" s="322"/>
      <c r="L21" s="322" t="s">
        <v>1958</v>
      </c>
      <c r="M21" s="322" t="s">
        <v>1959</v>
      </c>
    </row>
    <row r="22" spans="1:14" ht="18.75" customHeight="1">
      <c r="A22" s="321" t="s">
        <v>154</v>
      </c>
      <c r="B22" s="321" t="s">
        <v>80</v>
      </c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 t="s">
        <v>1960</v>
      </c>
    </row>
    <row r="23" spans="1:14" ht="27.75" customHeight="1">
      <c r="A23" s="321" t="s">
        <v>157</v>
      </c>
      <c r="B23" s="321" t="s">
        <v>159</v>
      </c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322" t="s">
        <v>1961</v>
      </c>
    </row>
    <row r="24" spans="1:13" ht="18.75" customHeight="1">
      <c r="A24" s="321" t="s">
        <v>161</v>
      </c>
      <c r="B24" s="321" t="s">
        <v>86</v>
      </c>
      <c r="C24" s="321"/>
      <c r="D24" s="322"/>
      <c r="E24" s="322"/>
      <c r="F24" s="322"/>
      <c r="G24" s="322"/>
      <c r="H24" s="322"/>
      <c r="I24" s="322"/>
      <c r="J24" s="322"/>
      <c r="K24" s="322"/>
      <c r="L24" s="322"/>
      <c r="M24" s="322"/>
    </row>
    <row r="25" ht="7.5" customHeight="1">
      <c r="A25" s="317"/>
    </row>
    <row r="26" spans="1:13" ht="26.25" customHeight="1">
      <c r="A26" s="319" t="s">
        <v>1911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</row>
    <row r="27" spans="1:14" ht="27.75" customHeight="1">
      <c r="A27" s="320" t="s">
        <v>28</v>
      </c>
      <c r="B27" s="320" t="s">
        <v>69</v>
      </c>
      <c r="C27" s="320"/>
      <c r="D27" s="320" t="s">
        <v>1912</v>
      </c>
      <c r="E27" s="320" t="s">
        <v>1903</v>
      </c>
      <c r="F27" s="320" t="s">
        <v>1913</v>
      </c>
      <c r="G27" s="320" t="s">
        <v>1914</v>
      </c>
      <c r="H27" s="320" t="s">
        <v>1915</v>
      </c>
      <c r="I27" s="320" t="s">
        <v>1916</v>
      </c>
      <c r="J27" s="320" t="s">
        <v>1917</v>
      </c>
      <c r="K27" s="320" t="s">
        <v>1918</v>
      </c>
      <c r="L27" s="320" t="s">
        <v>1919</v>
      </c>
      <c r="M27" s="320" t="s">
        <v>1920</v>
      </c>
    </row>
    <row r="28" spans="1:14" ht="18.75" customHeight="1">
      <c r="A28" s="321" t="s">
        <v>164</v>
      </c>
      <c r="B28" s="321" t="s">
        <v>166</v>
      </c>
      <c r="C28" s="321"/>
      <c r="D28" s="322"/>
      <c r="E28" s="322"/>
      <c r="F28" s="322"/>
      <c r="G28" s="322"/>
      <c r="H28" s="322"/>
      <c r="I28" s="322"/>
      <c r="J28" s="322"/>
      <c r="K28" s="322"/>
      <c r="L28" s="322"/>
      <c r="M28" s="322" t="s">
        <v>1962</v>
      </c>
    </row>
    <row r="29" spans="1:14" ht="18.75" customHeight="1">
      <c r="A29" s="321" t="s">
        <v>168</v>
      </c>
      <c r="B29" s="321" t="s">
        <v>96</v>
      </c>
      <c r="C29" s="321"/>
      <c r="D29" s="322"/>
      <c r="E29" s="322"/>
      <c r="F29" s="322"/>
      <c r="G29" s="322"/>
      <c r="H29" s="322"/>
      <c r="I29" s="322"/>
      <c r="J29" s="322"/>
      <c r="K29" s="322"/>
      <c r="L29" s="322"/>
      <c r="M29" s="322" t="s">
        <v>1963</v>
      </c>
    </row>
    <row r="30" spans="1:13" ht="18.75" customHeight="1">
      <c r="A30" s="321" t="s">
        <v>171</v>
      </c>
      <c r="B30" s="321" t="s">
        <v>102</v>
      </c>
      <c r="C30" s="321"/>
      <c r="D30" s="322"/>
      <c r="E30" s="322"/>
      <c r="F30" s="322"/>
      <c r="G30" s="322"/>
      <c r="H30" s="322"/>
      <c r="I30" s="322" t="s">
        <v>1956</v>
      </c>
      <c r="J30" s="322"/>
      <c r="K30" s="322"/>
      <c r="L30" s="322"/>
      <c r="M30" s="322"/>
    </row>
    <row r="31" spans="1:13" ht="18.75" customHeight="1">
      <c r="A31" s="321" t="s">
        <v>175</v>
      </c>
      <c r="B31" s="321" t="s">
        <v>108</v>
      </c>
      <c r="C31" s="321"/>
      <c r="D31" s="322" t="s">
        <v>1964</v>
      </c>
      <c r="E31" s="322"/>
      <c r="F31" s="322"/>
      <c r="G31" s="322"/>
      <c r="H31" s="322"/>
      <c r="I31" s="322"/>
      <c r="J31" s="322" t="s">
        <v>1965</v>
      </c>
      <c r="K31" s="322"/>
      <c r="L31" s="322"/>
      <c r="M31" s="322"/>
    </row>
    <row r="32" spans="1:13" ht="18.75" customHeight="1">
      <c r="A32" s="321" t="s">
        <v>178</v>
      </c>
      <c r="B32" s="321" t="s">
        <v>180</v>
      </c>
      <c r="C32" s="321"/>
      <c r="D32" s="322" t="s">
        <v>1966</v>
      </c>
      <c r="E32" s="322"/>
      <c r="F32" s="322"/>
      <c r="G32" s="322"/>
      <c r="H32" s="322"/>
      <c r="I32" s="322"/>
      <c r="J32" s="322" t="s">
        <v>1967</v>
      </c>
      <c r="K32" s="322"/>
      <c r="L32" s="322"/>
      <c r="M32" s="322"/>
    </row>
    <row r="33" spans="1:13" ht="18.75" customHeight="1">
      <c r="A33" s="321" t="s">
        <v>182</v>
      </c>
      <c r="B33" s="321" t="s">
        <v>112</v>
      </c>
      <c r="C33" s="321"/>
      <c r="D33" s="322"/>
      <c r="E33" s="322"/>
      <c r="F33" s="322"/>
      <c r="G33" s="322"/>
      <c r="H33" s="322"/>
      <c r="I33" s="322"/>
      <c r="J33" s="322"/>
      <c r="K33" s="322"/>
      <c r="L33" s="322"/>
      <c r="M33" s="322"/>
    </row>
    <row r="34" spans="1:13" ht="18.75" customHeight="1">
      <c r="A34" s="321" t="s">
        <v>184</v>
      </c>
      <c r="B34" s="321" t="s">
        <v>117</v>
      </c>
      <c r="C34" s="321"/>
      <c r="D34" s="322"/>
      <c r="E34" s="322"/>
      <c r="F34" s="322"/>
      <c r="G34" s="322"/>
      <c r="H34" s="322"/>
      <c r="I34" s="322"/>
      <c r="J34" s="322"/>
      <c r="K34" s="322"/>
      <c r="L34" s="322"/>
      <c r="M34" s="322"/>
    </row>
    <row r="35" spans="1:13" ht="18.75" customHeight="1">
      <c r="A35" s="321" t="s">
        <v>187</v>
      </c>
      <c r="B35" s="321" t="s">
        <v>121</v>
      </c>
      <c r="C35" s="321"/>
      <c r="D35" s="322"/>
      <c r="E35" s="322"/>
      <c r="F35" s="322"/>
      <c r="G35" s="322"/>
      <c r="H35" s="322"/>
      <c r="I35" s="322"/>
      <c r="J35" s="322"/>
      <c r="K35" s="322"/>
      <c r="L35" s="322"/>
      <c r="M35" s="322"/>
    </row>
    <row r="36" spans="1:14" ht="18.75" customHeight="1">
      <c r="A36" s="321" t="s">
        <v>190</v>
      </c>
      <c r="B36" s="321" t="s">
        <v>126</v>
      </c>
      <c r="C36" s="321"/>
      <c r="D36" s="322"/>
      <c r="E36" s="322"/>
      <c r="F36" s="322"/>
      <c r="G36" s="322"/>
      <c r="H36" s="322"/>
      <c r="I36" s="322"/>
      <c r="J36" s="322"/>
      <c r="K36" s="322"/>
      <c r="L36" s="322"/>
      <c r="M36" s="322" t="s">
        <v>1968</v>
      </c>
    </row>
    <row r="37" spans="1:13" ht="18.75" customHeight="1">
      <c r="A37" s="321" t="s">
        <v>193</v>
      </c>
      <c r="B37" s="321" t="s">
        <v>130</v>
      </c>
      <c r="C37" s="321"/>
      <c r="D37" s="322"/>
      <c r="E37" s="322"/>
      <c r="F37" s="322" t="s">
        <v>1954</v>
      </c>
      <c r="G37" s="322"/>
      <c r="H37" s="322"/>
      <c r="I37" s="322"/>
      <c r="J37" s="322"/>
      <c r="K37" s="322"/>
      <c r="L37" s="322" t="s">
        <v>1969</v>
      </c>
      <c r="M37" s="322"/>
    </row>
    <row r="38" spans="1:13" ht="18.75" customHeight="1">
      <c r="A38" s="321" t="s">
        <v>196</v>
      </c>
      <c r="B38" s="321" t="s">
        <v>135</v>
      </c>
      <c r="C38" s="321"/>
      <c r="D38" s="322"/>
      <c r="E38" s="322"/>
      <c r="F38" s="322"/>
      <c r="G38" s="322" t="s">
        <v>1970</v>
      </c>
      <c r="H38" s="322"/>
      <c r="I38" s="322"/>
      <c r="J38" s="322"/>
      <c r="K38" s="322"/>
      <c r="L38" s="322"/>
      <c r="M38" s="322"/>
    </row>
    <row r="39" spans="1:14" ht="27.75" customHeight="1">
      <c r="A39" s="321" t="s">
        <v>199</v>
      </c>
      <c r="B39" s="321" t="s">
        <v>140</v>
      </c>
      <c r="C39" s="321"/>
      <c r="D39" s="322" t="s">
        <v>1971</v>
      </c>
      <c r="E39" s="322"/>
      <c r="F39" s="322"/>
      <c r="G39" s="322" t="s">
        <v>1972</v>
      </c>
      <c r="H39" s="322"/>
      <c r="I39" s="322"/>
      <c r="J39" s="322" t="s">
        <v>1973</v>
      </c>
      <c r="K39" s="322"/>
      <c r="L39" s="322" t="s">
        <v>1974</v>
      </c>
      <c r="M39" s="322" t="s">
        <v>1975</v>
      </c>
    </row>
    <row r="40" spans="1:14" ht="18.75" customHeight="1">
      <c r="A40" s="321" t="s">
        <v>202</v>
      </c>
      <c r="B40" s="321" t="s">
        <v>144</v>
      </c>
      <c r="C40" s="321"/>
      <c r="D40" s="322"/>
      <c r="E40" s="322"/>
      <c r="F40" s="322"/>
      <c r="G40" s="322" t="s">
        <v>1972</v>
      </c>
      <c r="H40" s="322"/>
      <c r="I40" s="322"/>
      <c r="J40" s="322"/>
      <c r="K40" s="322"/>
      <c r="L40" s="322"/>
      <c r="M40" s="322" t="s">
        <v>1976</v>
      </c>
    </row>
    <row r="41" spans="1:13" ht="18.75" customHeight="1">
      <c r="A41" s="321" t="s">
        <v>203</v>
      </c>
      <c r="B41" s="321" t="s">
        <v>148</v>
      </c>
      <c r="C41" s="321"/>
      <c r="D41" s="322"/>
      <c r="E41" s="322" t="s">
        <v>1953</v>
      </c>
      <c r="F41" s="322"/>
      <c r="G41" s="322"/>
      <c r="H41" s="322"/>
      <c r="I41" s="322"/>
      <c r="J41" s="322"/>
      <c r="K41" s="322"/>
      <c r="L41" s="322" t="s">
        <v>1977</v>
      </c>
      <c r="M41" s="322"/>
    </row>
    <row r="42" spans="1:14" ht="18.75" customHeight="1">
      <c r="A42" s="321" t="s">
        <v>34</v>
      </c>
      <c r="B42" s="321" t="s">
        <v>35</v>
      </c>
      <c r="C42" s="321"/>
      <c r="D42" s="322" t="s">
        <v>1978</v>
      </c>
      <c r="E42" s="322"/>
      <c r="F42" s="322" t="s">
        <v>1979</v>
      </c>
      <c r="G42" s="322" t="s">
        <v>1980</v>
      </c>
      <c r="H42" s="322"/>
      <c r="I42" s="322" t="s">
        <v>1981</v>
      </c>
      <c r="J42" s="322" t="s">
        <v>1982</v>
      </c>
      <c r="K42" s="322"/>
      <c r="L42" s="322" t="s">
        <v>1983</v>
      </c>
      <c r="M42" s="322" t="s">
        <v>1984</v>
      </c>
    </row>
    <row r="43" spans="1:14" ht="18.75" customHeight="1">
      <c r="A43" s="321" t="s">
        <v>206</v>
      </c>
      <c r="B43" s="321" t="s">
        <v>207</v>
      </c>
      <c r="C43" s="321"/>
      <c r="D43" s="322" t="s">
        <v>1985</v>
      </c>
      <c r="E43" s="322"/>
      <c r="F43" s="322" t="s">
        <v>1986</v>
      </c>
      <c r="G43" s="322" t="s">
        <v>1987</v>
      </c>
      <c r="H43" s="322"/>
      <c r="I43" s="322" t="s">
        <v>1988</v>
      </c>
      <c r="J43" s="322" t="s">
        <v>1989</v>
      </c>
      <c r="K43" s="322"/>
      <c r="L43" s="322" t="s">
        <v>1990</v>
      </c>
      <c r="M43" s="322" t="s">
        <v>1991</v>
      </c>
    </row>
    <row r="44" spans="1:14" ht="27.75" customHeight="1">
      <c r="A44" s="321" t="s">
        <v>208</v>
      </c>
      <c r="B44" s="321" t="s">
        <v>210</v>
      </c>
      <c r="C44" s="321"/>
      <c r="D44" s="322"/>
      <c r="E44" s="322"/>
      <c r="F44" s="322"/>
      <c r="G44" s="322"/>
      <c r="H44" s="322"/>
      <c r="I44" s="322"/>
      <c r="J44" s="322"/>
      <c r="K44" s="322"/>
      <c r="L44" s="322"/>
      <c r="M44" s="322" t="s">
        <v>1992</v>
      </c>
    </row>
    <row r="45" spans="1:14" ht="18.75" customHeight="1">
      <c r="A45" s="321" t="s">
        <v>212</v>
      </c>
      <c r="B45" s="321" t="s">
        <v>92</v>
      </c>
      <c r="C45" s="321"/>
      <c r="D45" s="322"/>
      <c r="E45" s="322"/>
      <c r="F45" s="322"/>
      <c r="G45" s="322"/>
      <c r="H45" s="322"/>
      <c r="I45" s="322"/>
      <c r="J45" s="322"/>
      <c r="K45" s="322"/>
      <c r="L45" s="322"/>
      <c r="M45" s="322" t="s">
        <v>1993</v>
      </c>
    </row>
    <row r="46" spans="1:14" ht="18.75" customHeight="1">
      <c r="A46" s="321" t="s">
        <v>215</v>
      </c>
      <c r="B46" s="321" t="s">
        <v>166</v>
      </c>
      <c r="C46" s="321"/>
      <c r="D46" s="322"/>
      <c r="E46" s="322"/>
      <c r="F46" s="322"/>
      <c r="G46" s="322"/>
      <c r="H46" s="322"/>
      <c r="I46" s="322"/>
      <c r="J46" s="322"/>
      <c r="K46" s="322"/>
      <c r="L46" s="322"/>
      <c r="M46" s="322" t="s">
        <v>377</v>
      </c>
    </row>
    <row r="47" spans="1:14" ht="18.75" customHeight="1">
      <c r="A47" s="321" t="s">
        <v>218</v>
      </c>
      <c r="B47" s="321" t="s">
        <v>96</v>
      </c>
      <c r="C47" s="321"/>
      <c r="D47" s="322"/>
      <c r="E47" s="322"/>
      <c r="F47" s="322"/>
      <c r="G47" s="322"/>
      <c r="H47" s="322"/>
      <c r="I47" s="322"/>
      <c r="J47" s="322"/>
      <c r="K47" s="322"/>
      <c r="L47" s="322"/>
      <c r="M47" s="322" t="s">
        <v>1994</v>
      </c>
    </row>
    <row r="48" spans="1:13" ht="18.75" customHeight="1">
      <c r="A48" s="321" t="s">
        <v>221</v>
      </c>
      <c r="B48" s="321" t="s">
        <v>102</v>
      </c>
      <c r="C48" s="321"/>
      <c r="D48" s="322"/>
      <c r="E48" s="322"/>
      <c r="F48" s="322"/>
      <c r="G48" s="322"/>
      <c r="H48" s="322"/>
      <c r="I48" s="322" t="s">
        <v>1988</v>
      </c>
      <c r="J48" s="322"/>
      <c r="K48" s="322"/>
      <c r="L48" s="322"/>
      <c r="M48" s="322"/>
    </row>
    <row r="49" ht="7.5" customHeight="1">
      <c r="A49" s="317"/>
    </row>
    <row r="50" spans="1:13" ht="26.25" customHeight="1">
      <c r="A50" s="319" t="s">
        <v>1911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</row>
    <row r="51" spans="1:14" ht="27.75" customHeight="1">
      <c r="A51" s="320" t="s">
        <v>28</v>
      </c>
      <c r="B51" s="320" t="s">
        <v>69</v>
      </c>
      <c r="C51" s="320"/>
      <c r="D51" s="320" t="s">
        <v>1912</v>
      </c>
      <c r="E51" s="320" t="s">
        <v>1903</v>
      </c>
      <c r="F51" s="320" t="s">
        <v>1913</v>
      </c>
      <c r="G51" s="320" t="s">
        <v>1914</v>
      </c>
      <c r="H51" s="320" t="s">
        <v>1915</v>
      </c>
      <c r="I51" s="320" t="s">
        <v>1916</v>
      </c>
      <c r="J51" s="320" t="s">
        <v>1917</v>
      </c>
      <c r="K51" s="320" t="s">
        <v>1918</v>
      </c>
      <c r="L51" s="320" t="s">
        <v>1919</v>
      </c>
      <c r="M51" s="320" t="s">
        <v>1920</v>
      </c>
    </row>
    <row r="52" spans="1:13" ht="18.75" customHeight="1">
      <c r="A52" s="321" t="s">
        <v>224</v>
      </c>
      <c r="B52" s="321" t="s">
        <v>226</v>
      </c>
      <c r="C52" s="321"/>
      <c r="D52" s="322" t="s">
        <v>1985</v>
      </c>
      <c r="E52" s="322"/>
      <c r="F52" s="322"/>
      <c r="G52" s="322"/>
      <c r="H52" s="322"/>
      <c r="I52" s="322"/>
      <c r="J52" s="322" t="s">
        <v>1989</v>
      </c>
      <c r="K52" s="322"/>
      <c r="L52" s="322"/>
      <c r="M52" s="322"/>
    </row>
    <row r="53" spans="1:13" ht="18.75" customHeight="1">
      <c r="A53" s="321" t="s">
        <v>228</v>
      </c>
      <c r="B53" s="321" t="s">
        <v>112</v>
      </c>
      <c r="C53" s="321"/>
      <c r="D53" s="322"/>
      <c r="E53" s="322"/>
      <c r="F53" s="322"/>
      <c r="G53" s="322"/>
      <c r="H53" s="322"/>
      <c r="I53" s="322"/>
      <c r="J53" s="322"/>
      <c r="K53" s="322"/>
      <c r="L53" s="322"/>
      <c r="M53" s="322"/>
    </row>
    <row r="54" spans="1:13" ht="18.75" customHeight="1">
      <c r="A54" s="321" t="s">
        <v>230</v>
      </c>
      <c r="B54" s="321" t="s">
        <v>117</v>
      </c>
      <c r="C54" s="321"/>
      <c r="D54" s="322"/>
      <c r="E54" s="322"/>
      <c r="F54" s="322"/>
      <c r="G54" s="322"/>
      <c r="H54" s="322"/>
      <c r="I54" s="322"/>
      <c r="J54" s="322"/>
      <c r="K54" s="322"/>
      <c r="L54" s="322"/>
      <c r="M54" s="322"/>
    </row>
    <row r="55" spans="1:13" ht="18.75" customHeight="1">
      <c r="A55" s="321" t="s">
        <v>233</v>
      </c>
      <c r="B55" s="321" t="s">
        <v>121</v>
      </c>
      <c r="C55" s="321"/>
      <c r="D55" s="322"/>
      <c r="E55" s="322"/>
      <c r="F55" s="322"/>
      <c r="G55" s="322"/>
      <c r="H55" s="322"/>
      <c r="I55" s="322"/>
      <c r="J55" s="322"/>
      <c r="K55" s="322"/>
      <c r="L55" s="322"/>
      <c r="M55" s="322"/>
    </row>
    <row r="56" spans="1:14" ht="18.75" customHeight="1">
      <c r="A56" s="321" t="s">
        <v>236</v>
      </c>
      <c r="B56" s="321" t="s">
        <v>126</v>
      </c>
      <c r="C56" s="321"/>
      <c r="D56" s="322"/>
      <c r="E56" s="322"/>
      <c r="F56" s="322"/>
      <c r="G56" s="322"/>
      <c r="H56" s="322"/>
      <c r="I56" s="322"/>
      <c r="J56" s="322"/>
      <c r="K56" s="322"/>
      <c r="L56" s="322"/>
      <c r="M56" s="322" t="s">
        <v>1995</v>
      </c>
    </row>
    <row r="57" spans="1:13" ht="18.75" customHeight="1">
      <c r="A57" s="321" t="s">
        <v>239</v>
      </c>
      <c r="B57" s="321" t="s">
        <v>135</v>
      </c>
      <c r="C57" s="321"/>
      <c r="D57" s="322"/>
      <c r="E57" s="322"/>
      <c r="F57" s="322"/>
      <c r="G57" s="322" t="s">
        <v>1987</v>
      </c>
      <c r="H57" s="322"/>
      <c r="I57" s="322"/>
      <c r="J57" s="322"/>
      <c r="K57" s="322"/>
      <c r="L57" s="322"/>
      <c r="M57" s="322"/>
    </row>
    <row r="58" spans="1:13" ht="18.75" customHeight="1">
      <c r="A58" s="321" t="s">
        <v>242</v>
      </c>
      <c r="B58" s="321" t="s">
        <v>130</v>
      </c>
      <c r="C58" s="321"/>
      <c r="D58" s="322"/>
      <c r="E58" s="322"/>
      <c r="F58" s="322" t="s">
        <v>1986</v>
      </c>
      <c r="G58" s="322"/>
      <c r="H58" s="322"/>
      <c r="I58" s="322"/>
      <c r="J58" s="322"/>
      <c r="K58" s="322"/>
      <c r="L58" s="322" t="s">
        <v>1990</v>
      </c>
      <c r="M58" s="322"/>
    </row>
    <row r="59" spans="1:14" ht="18.75" customHeight="1">
      <c r="A59" s="321" t="s">
        <v>246</v>
      </c>
      <c r="B59" s="321" t="s">
        <v>247</v>
      </c>
      <c r="C59" s="321"/>
      <c r="D59" s="322" t="s">
        <v>1985</v>
      </c>
      <c r="E59" s="322"/>
      <c r="F59" s="322" t="s">
        <v>1986</v>
      </c>
      <c r="G59" s="322" t="s">
        <v>1987</v>
      </c>
      <c r="H59" s="322"/>
      <c r="I59" s="322" t="s">
        <v>1988</v>
      </c>
      <c r="J59" s="322" t="s">
        <v>1989</v>
      </c>
      <c r="K59" s="322"/>
      <c r="L59" s="322" t="s">
        <v>1990</v>
      </c>
      <c r="M59" s="322" t="s">
        <v>1996</v>
      </c>
    </row>
    <row r="60" spans="1:14" ht="27.75" customHeight="1">
      <c r="A60" s="321" t="s">
        <v>248</v>
      </c>
      <c r="B60" s="321" t="s">
        <v>210</v>
      </c>
      <c r="C60" s="321"/>
      <c r="D60" s="322"/>
      <c r="E60" s="322"/>
      <c r="F60" s="322"/>
      <c r="G60" s="322"/>
      <c r="H60" s="322"/>
      <c r="I60" s="322"/>
      <c r="J60" s="322"/>
      <c r="K60" s="322"/>
      <c r="L60" s="322"/>
      <c r="M60" s="322" t="s">
        <v>1997</v>
      </c>
    </row>
    <row r="61" spans="1:14" ht="18.75" customHeight="1">
      <c r="A61" s="321" t="s">
        <v>251</v>
      </c>
      <c r="B61" s="321" t="s">
        <v>92</v>
      </c>
      <c r="C61" s="321"/>
      <c r="D61" s="322"/>
      <c r="E61" s="322"/>
      <c r="F61" s="322"/>
      <c r="G61" s="322"/>
      <c r="H61" s="322"/>
      <c r="I61" s="322"/>
      <c r="J61" s="322"/>
      <c r="K61" s="322"/>
      <c r="L61" s="322"/>
      <c r="M61" s="322" t="s">
        <v>1998</v>
      </c>
    </row>
    <row r="62" spans="1:14" ht="18.75" customHeight="1">
      <c r="A62" s="321" t="s">
        <v>254</v>
      </c>
      <c r="B62" s="321" t="s">
        <v>166</v>
      </c>
      <c r="C62" s="321"/>
      <c r="D62" s="322"/>
      <c r="E62" s="322"/>
      <c r="F62" s="322"/>
      <c r="G62" s="322"/>
      <c r="H62" s="322"/>
      <c r="I62" s="322"/>
      <c r="J62" s="322"/>
      <c r="K62" s="322"/>
      <c r="L62" s="322"/>
      <c r="M62" s="322" t="s">
        <v>382</v>
      </c>
    </row>
    <row r="63" spans="1:14" ht="18.75" customHeight="1">
      <c r="A63" s="321" t="s">
        <v>257</v>
      </c>
      <c r="B63" s="321" t="s">
        <v>96</v>
      </c>
      <c r="C63" s="321"/>
      <c r="D63" s="322"/>
      <c r="E63" s="322"/>
      <c r="F63" s="322"/>
      <c r="G63" s="322"/>
      <c r="H63" s="322"/>
      <c r="I63" s="322"/>
      <c r="J63" s="322"/>
      <c r="K63" s="322"/>
      <c r="L63" s="322"/>
      <c r="M63" s="322" t="s">
        <v>1999</v>
      </c>
    </row>
    <row r="64" spans="1:13" ht="18.75" customHeight="1">
      <c r="A64" s="321" t="s">
        <v>260</v>
      </c>
      <c r="B64" s="321" t="s">
        <v>102</v>
      </c>
      <c r="C64" s="321"/>
      <c r="D64" s="322"/>
      <c r="E64" s="322"/>
      <c r="F64" s="322"/>
      <c r="G64" s="322"/>
      <c r="H64" s="322"/>
      <c r="I64" s="322" t="s">
        <v>1988</v>
      </c>
      <c r="J64" s="322"/>
      <c r="K64" s="322"/>
      <c r="L64" s="322"/>
      <c r="M64" s="322"/>
    </row>
    <row r="65" spans="1:13" ht="18.75" customHeight="1">
      <c r="A65" s="321" t="s">
        <v>262</v>
      </c>
      <c r="B65" s="321" t="s">
        <v>226</v>
      </c>
      <c r="C65" s="321"/>
      <c r="D65" s="322" t="s">
        <v>1985</v>
      </c>
      <c r="E65" s="322"/>
      <c r="F65" s="322"/>
      <c r="G65" s="322"/>
      <c r="H65" s="322"/>
      <c r="I65" s="322"/>
      <c r="J65" s="322" t="s">
        <v>1989</v>
      </c>
      <c r="K65" s="322"/>
      <c r="L65" s="322"/>
      <c r="M65" s="322"/>
    </row>
    <row r="66" spans="1:13" ht="18.75" customHeight="1">
      <c r="A66" s="321" t="s">
        <v>264</v>
      </c>
      <c r="B66" s="321" t="s">
        <v>112</v>
      </c>
      <c r="C66" s="321"/>
      <c r="D66" s="322"/>
      <c r="E66" s="322"/>
      <c r="F66" s="322"/>
      <c r="G66" s="322"/>
      <c r="H66" s="322"/>
      <c r="I66" s="322"/>
      <c r="J66" s="322"/>
      <c r="K66" s="322"/>
      <c r="L66" s="322"/>
      <c r="M66" s="322"/>
    </row>
    <row r="67" spans="1:13" ht="18.75" customHeight="1">
      <c r="A67" s="321" t="s">
        <v>265</v>
      </c>
      <c r="B67" s="321" t="s">
        <v>117</v>
      </c>
      <c r="C67" s="321"/>
      <c r="D67" s="322"/>
      <c r="E67" s="322"/>
      <c r="F67" s="322"/>
      <c r="G67" s="322"/>
      <c r="H67" s="322"/>
      <c r="I67" s="322"/>
      <c r="J67" s="322"/>
      <c r="K67" s="322"/>
      <c r="L67" s="322"/>
      <c r="M67" s="322"/>
    </row>
    <row r="68" spans="1:13" ht="18.75" customHeight="1">
      <c r="A68" s="321" t="s">
        <v>267</v>
      </c>
      <c r="B68" s="321" t="s">
        <v>121</v>
      </c>
      <c r="C68" s="321"/>
      <c r="D68" s="322"/>
      <c r="E68" s="322"/>
      <c r="F68" s="322"/>
      <c r="G68" s="322"/>
      <c r="H68" s="322"/>
      <c r="I68" s="322"/>
      <c r="J68" s="322"/>
      <c r="K68" s="322"/>
      <c r="L68" s="322"/>
      <c r="M68" s="322"/>
    </row>
    <row r="69" spans="1:14" ht="18.75" customHeight="1">
      <c r="A69" s="321" t="s">
        <v>270</v>
      </c>
      <c r="B69" s="321" t="s">
        <v>126</v>
      </c>
      <c r="C69" s="321"/>
      <c r="D69" s="322"/>
      <c r="E69" s="322"/>
      <c r="F69" s="322"/>
      <c r="G69" s="322"/>
      <c r="H69" s="322"/>
      <c r="I69" s="322"/>
      <c r="J69" s="322"/>
      <c r="K69" s="322"/>
      <c r="L69" s="322"/>
      <c r="M69" s="322" t="s">
        <v>2000</v>
      </c>
    </row>
    <row r="70" spans="1:13" ht="18.75" customHeight="1">
      <c r="A70" s="321" t="s">
        <v>273</v>
      </c>
      <c r="B70" s="321" t="s">
        <v>135</v>
      </c>
      <c r="C70" s="321"/>
      <c r="D70" s="322"/>
      <c r="E70" s="322"/>
      <c r="F70" s="322"/>
      <c r="G70" s="322" t="s">
        <v>1987</v>
      </c>
      <c r="H70" s="322"/>
      <c r="I70" s="322"/>
      <c r="J70" s="322"/>
      <c r="K70" s="322"/>
      <c r="L70" s="322"/>
      <c r="M70" s="322"/>
    </row>
    <row r="71" spans="1:13" ht="18.75" customHeight="1">
      <c r="A71" s="321" t="s">
        <v>275</v>
      </c>
      <c r="B71" s="321" t="s">
        <v>130</v>
      </c>
      <c r="C71" s="321"/>
      <c r="D71" s="322"/>
      <c r="E71" s="322"/>
      <c r="F71" s="322" t="s">
        <v>1986</v>
      </c>
      <c r="G71" s="322"/>
      <c r="H71" s="322"/>
      <c r="I71" s="322"/>
      <c r="J71" s="322"/>
      <c r="K71" s="322"/>
      <c r="L71" s="322" t="s">
        <v>1990</v>
      </c>
      <c r="M71" s="322"/>
    </row>
    <row r="72" spans="1:14" ht="18.75" customHeight="1">
      <c r="A72" s="321" t="s">
        <v>37</v>
      </c>
      <c r="B72" s="321" t="s">
        <v>38</v>
      </c>
      <c r="C72" s="321"/>
      <c r="D72" s="322" t="s">
        <v>2001</v>
      </c>
      <c r="E72" s="322"/>
      <c r="F72" s="322" t="s">
        <v>2002</v>
      </c>
      <c r="G72" s="322"/>
      <c r="H72" s="322"/>
      <c r="I72" s="322"/>
      <c r="J72" s="322" t="s">
        <v>2003</v>
      </c>
      <c r="K72" s="322"/>
      <c r="L72" s="322" t="s">
        <v>2004</v>
      </c>
      <c r="M72" s="322" t="s">
        <v>2005</v>
      </c>
    </row>
    <row r="73" ht="7.5" customHeight="1">
      <c r="A73" s="317"/>
    </row>
    <row r="74" spans="1:13" ht="26.25" customHeight="1">
      <c r="A74" s="319" t="s">
        <v>1911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</row>
    <row r="75" spans="1:14" ht="27.75" customHeight="1">
      <c r="A75" s="320" t="s">
        <v>28</v>
      </c>
      <c r="B75" s="320" t="s">
        <v>69</v>
      </c>
      <c r="C75" s="320"/>
      <c r="D75" s="320" t="s">
        <v>1912</v>
      </c>
      <c r="E75" s="320" t="s">
        <v>1903</v>
      </c>
      <c r="F75" s="320" t="s">
        <v>1913</v>
      </c>
      <c r="G75" s="320" t="s">
        <v>1914</v>
      </c>
      <c r="H75" s="320" t="s">
        <v>1915</v>
      </c>
      <c r="I75" s="320" t="s">
        <v>1916</v>
      </c>
      <c r="J75" s="320" t="s">
        <v>1917</v>
      </c>
      <c r="K75" s="320" t="s">
        <v>1918</v>
      </c>
      <c r="L75" s="320" t="s">
        <v>1919</v>
      </c>
      <c r="M75" s="320" t="s">
        <v>1920</v>
      </c>
    </row>
    <row r="76" spans="1:14" ht="27.75" customHeight="1">
      <c r="A76" s="321" t="s">
        <v>277</v>
      </c>
      <c r="B76" s="321" t="s">
        <v>210</v>
      </c>
      <c r="C76" s="321"/>
      <c r="D76" s="322"/>
      <c r="E76" s="322"/>
      <c r="F76" s="322"/>
      <c r="G76" s="322"/>
      <c r="H76" s="322"/>
      <c r="I76" s="322"/>
      <c r="J76" s="322"/>
      <c r="K76" s="322"/>
      <c r="L76" s="322"/>
      <c r="M76" s="322" t="s">
        <v>367</v>
      </c>
    </row>
    <row r="77" spans="1:14" ht="18.75" customHeight="1">
      <c r="A77" s="321" t="s">
        <v>280</v>
      </c>
      <c r="B77" s="321" t="s">
        <v>92</v>
      </c>
      <c r="C77" s="321"/>
      <c r="D77" s="322"/>
      <c r="E77" s="322"/>
      <c r="F77" s="322"/>
      <c r="G77" s="322"/>
      <c r="H77" s="322"/>
      <c r="I77" s="322"/>
      <c r="J77" s="322"/>
      <c r="K77" s="322"/>
      <c r="L77" s="322"/>
      <c r="M77" s="322" t="s">
        <v>2006</v>
      </c>
    </row>
    <row r="78" spans="1:14" ht="18.75" customHeight="1">
      <c r="A78" s="321" t="s">
        <v>283</v>
      </c>
      <c r="B78" s="321" t="s">
        <v>96</v>
      </c>
      <c r="C78" s="321"/>
      <c r="D78" s="322"/>
      <c r="E78" s="322"/>
      <c r="F78" s="322"/>
      <c r="G78" s="322"/>
      <c r="H78" s="322"/>
      <c r="I78" s="322"/>
      <c r="J78" s="322"/>
      <c r="K78" s="322"/>
      <c r="L78" s="322"/>
      <c r="M78" s="322" t="s">
        <v>2007</v>
      </c>
    </row>
    <row r="79" spans="1:14" ht="18.75" customHeight="1">
      <c r="A79" s="321" t="s">
        <v>286</v>
      </c>
      <c r="B79" s="321" t="s">
        <v>288</v>
      </c>
      <c r="C79" s="321"/>
      <c r="D79" s="322" t="s">
        <v>2008</v>
      </c>
      <c r="E79" s="322"/>
      <c r="F79" s="322"/>
      <c r="G79" s="322"/>
      <c r="H79" s="322"/>
      <c r="I79" s="322"/>
      <c r="J79" s="322" t="s">
        <v>2009</v>
      </c>
      <c r="K79" s="322"/>
      <c r="L79" s="322"/>
      <c r="M79" s="322" t="s">
        <v>375</v>
      </c>
    </row>
    <row r="80" spans="1:13" ht="18.75" customHeight="1">
      <c r="A80" s="321" t="s">
        <v>290</v>
      </c>
      <c r="B80" s="321" t="s">
        <v>292</v>
      </c>
      <c r="C80" s="321"/>
      <c r="D80" s="322" t="s">
        <v>2010</v>
      </c>
      <c r="E80" s="322"/>
      <c r="F80" s="322"/>
      <c r="G80" s="322"/>
      <c r="H80" s="322"/>
      <c r="I80" s="322"/>
      <c r="J80" s="322" t="s">
        <v>2011</v>
      </c>
      <c r="K80" s="322"/>
      <c r="L80" s="322"/>
      <c r="M80" s="322"/>
    </row>
    <row r="81" spans="1:13" ht="18.75" customHeight="1">
      <c r="A81" s="321" t="s">
        <v>294</v>
      </c>
      <c r="B81" s="321" t="s">
        <v>296</v>
      </c>
      <c r="C81" s="321"/>
      <c r="D81" s="322"/>
      <c r="E81" s="322"/>
      <c r="F81" s="322"/>
      <c r="G81" s="322"/>
      <c r="H81" s="322"/>
      <c r="I81" s="322"/>
      <c r="J81" s="322"/>
      <c r="K81" s="322"/>
      <c r="L81" s="322"/>
      <c r="M81" s="322"/>
    </row>
    <row r="82" spans="1:13" ht="27.75" customHeight="1">
      <c r="A82" s="321" t="s">
        <v>298</v>
      </c>
      <c r="B82" s="321" t="s">
        <v>300</v>
      </c>
      <c r="C82" s="321"/>
      <c r="D82" s="322"/>
      <c r="E82" s="322"/>
      <c r="F82" s="322"/>
      <c r="G82" s="322"/>
      <c r="H82" s="322"/>
      <c r="I82" s="322"/>
      <c r="J82" s="322"/>
      <c r="K82" s="322"/>
      <c r="L82" s="322" t="s">
        <v>2012</v>
      </c>
      <c r="M82" s="322"/>
    </row>
    <row r="83" spans="1:13" ht="27.75" customHeight="1">
      <c r="A83" s="321" t="s">
        <v>303</v>
      </c>
      <c r="B83" s="321" t="s">
        <v>305</v>
      </c>
      <c r="C83" s="321"/>
      <c r="D83" s="322"/>
      <c r="E83" s="322"/>
      <c r="F83" s="322"/>
      <c r="G83" s="322"/>
      <c r="H83" s="322"/>
      <c r="I83" s="322"/>
      <c r="J83" s="322"/>
      <c r="K83" s="322"/>
      <c r="L83" s="322" t="s">
        <v>2013</v>
      </c>
      <c r="M83" s="322"/>
    </row>
    <row r="84" spans="1:14" ht="27.75" customHeight="1">
      <c r="A84" s="321" t="s">
        <v>307</v>
      </c>
      <c r="B84" s="321" t="s">
        <v>309</v>
      </c>
      <c r="C84" s="321"/>
      <c r="D84" s="322"/>
      <c r="E84" s="322"/>
      <c r="F84" s="322"/>
      <c r="G84" s="322"/>
      <c r="H84" s="322"/>
      <c r="I84" s="322"/>
      <c r="J84" s="322"/>
      <c r="K84" s="322"/>
      <c r="L84" s="322"/>
      <c r="M84" s="322" t="s">
        <v>2014</v>
      </c>
    </row>
    <row r="85" spans="1:14" ht="27.75" customHeight="1">
      <c r="A85" s="321" t="s">
        <v>310</v>
      </c>
      <c r="B85" s="321" t="s">
        <v>312</v>
      </c>
      <c r="C85" s="321"/>
      <c r="D85" s="322"/>
      <c r="E85" s="322"/>
      <c r="F85" s="322"/>
      <c r="G85" s="322"/>
      <c r="H85" s="322"/>
      <c r="I85" s="322"/>
      <c r="J85" s="322"/>
      <c r="K85" s="322"/>
      <c r="L85" s="322"/>
      <c r="M85" s="322" t="s">
        <v>2015</v>
      </c>
    </row>
    <row r="86" spans="1:13" ht="18.75" customHeight="1">
      <c r="A86" s="321" t="s">
        <v>315</v>
      </c>
      <c r="B86" s="321" t="s">
        <v>317</v>
      </c>
      <c r="C86" s="321"/>
      <c r="D86" s="322" t="s">
        <v>2016</v>
      </c>
      <c r="E86" s="322"/>
      <c r="F86" s="322"/>
      <c r="G86" s="322"/>
      <c r="H86" s="322"/>
      <c r="I86" s="322"/>
      <c r="J86" s="322" t="s">
        <v>2017</v>
      </c>
      <c r="K86" s="322"/>
      <c r="L86" s="322"/>
      <c r="M86" s="322"/>
    </row>
    <row r="87" spans="1:13" ht="18.75" customHeight="1">
      <c r="A87" s="321" t="s">
        <v>319</v>
      </c>
      <c r="B87" s="321" t="s">
        <v>321</v>
      </c>
      <c r="C87" s="321"/>
      <c r="D87" s="322" t="s">
        <v>2018</v>
      </c>
      <c r="E87" s="322"/>
      <c r="F87" s="322"/>
      <c r="G87" s="322"/>
      <c r="H87" s="322"/>
      <c r="I87" s="322"/>
      <c r="J87" s="322" t="s">
        <v>2019</v>
      </c>
      <c r="K87" s="322"/>
      <c r="L87" s="322"/>
      <c r="M87" s="322"/>
    </row>
    <row r="88" spans="1:13" ht="18.75" customHeight="1">
      <c r="A88" s="321" t="s">
        <v>323</v>
      </c>
      <c r="B88" s="321" t="s">
        <v>130</v>
      </c>
      <c r="C88" s="321"/>
      <c r="D88" s="322"/>
      <c r="E88" s="322"/>
      <c r="F88" s="322" t="s">
        <v>2002</v>
      </c>
      <c r="G88" s="322"/>
      <c r="H88" s="322"/>
      <c r="I88" s="322"/>
      <c r="J88" s="322"/>
      <c r="K88" s="322"/>
      <c r="L88" s="322" t="s">
        <v>2020</v>
      </c>
      <c r="M88" s="322"/>
    </row>
    <row r="89" spans="1:14" ht="18.75" customHeight="1">
      <c r="A89" s="321" t="s">
        <v>40</v>
      </c>
      <c r="B89" s="321" t="s">
        <v>41</v>
      </c>
      <c r="C89" s="321"/>
      <c r="D89" s="322"/>
      <c r="E89" s="322"/>
      <c r="F89" s="322"/>
      <c r="G89" s="322"/>
      <c r="H89" s="322"/>
      <c r="I89" s="322"/>
      <c r="J89" s="322"/>
      <c r="K89" s="322"/>
      <c r="L89" s="322"/>
      <c r="M89" s="322" t="s">
        <v>2021</v>
      </c>
    </row>
    <row r="90" spans="1:14" ht="27.75" customHeight="1">
      <c r="A90" s="321" t="s">
        <v>326</v>
      </c>
      <c r="B90" s="321" t="s">
        <v>328</v>
      </c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 t="s">
        <v>2022</v>
      </c>
    </row>
    <row r="91" spans="1:14" ht="27.75" customHeight="1">
      <c r="A91" s="321" t="s">
        <v>331</v>
      </c>
      <c r="B91" s="321" t="s">
        <v>333</v>
      </c>
      <c r="C91" s="321"/>
      <c r="D91" s="322"/>
      <c r="E91" s="322"/>
      <c r="F91" s="322"/>
      <c r="G91" s="322"/>
      <c r="H91" s="322"/>
      <c r="I91" s="322"/>
      <c r="J91" s="322"/>
      <c r="K91" s="322"/>
      <c r="L91" s="322"/>
      <c r="M91" s="322" t="s">
        <v>2023</v>
      </c>
    </row>
    <row r="92" spans="1:13" ht="18.75" customHeight="1">
      <c r="A92" s="321" t="s">
        <v>43</v>
      </c>
      <c r="B92" s="321" t="s">
        <v>44</v>
      </c>
      <c r="C92" s="321"/>
      <c r="D92" s="322"/>
      <c r="E92" s="322"/>
      <c r="F92" s="322"/>
      <c r="G92" s="322"/>
      <c r="H92" s="322"/>
      <c r="I92" s="322"/>
      <c r="J92" s="322"/>
      <c r="K92" s="322"/>
      <c r="L92" s="322"/>
      <c r="M92" s="322"/>
    </row>
    <row r="93" spans="1:14" ht="18.75" customHeight="1">
      <c r="A93" s="321" t="s">
        <v>46</v>
      </c>
      <c r="B93" s="321" t="s">
        <v>47</v>
      </c>
      <c r="C93" s="321"/>
      <c r="D93" s="322"/>
      <c r="E93" s="322"/>
      <c r="F93" s="322"/>
      <c r="G93" s="322"/>
      <c r="H93" s="322"/>
      <c r="I93" s="322"/>
      <c r="J93" s="322"/>
      <c r="K93" s="322"/>
      <c r="L93" s="322"/>
      <c r="M93" s="322" t="s">
        <v>2024</v>
      </c>
    </row>
    <row r="94" ht="7.5" customHeight="1">
      <c r="A94" s="317"/>
    </row>
    <row r="95" spans="1:13" ht="26.25" customHeight="1">
      <c r="A95" s="319" t="s">
        <v>1911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</row>
    <row r="96" spans="1:14" ht="27.75" customHeight="1">
      <c r="A96" s="320" t="s">
        <v>28</v>
      </c>
      <c r="B96" s="320" t="s">
        <v>69</v>
      </c>
      <c r="C96" s="320"/>
      <c r="D96" s="320" t="s">
        <v>1912</v>
      </c>
      <c r="E96" s="320" t="s">
        <v>1903</v>
      </c>
      <c r="F96" s="320" t="s">
        <v>1913</v>
      </c>
      <c r="G96" s="320" t="s">
        <v>1914</v>
      </c>
      <c r="H96" s="320" t="s">
        <v>1915</v>
      </c>
      <c r="I96" s="320" t="s">
        <v>1916</v>
      </c>
      <c r="J96" s="320" t="s">
        <v>1917</v>
      </c>
      <c r="K96" s="320" t="s">
        <v>1918</v>
      </c>
      <c r="L96" s="320" t="s">
        <v>1919</v>
      </c>
      <c r="M96" s="320" t="s">
        <v>1920</v>
      </c>
    </row>
    <row r="97" spans="1:13" ht="27.75" customHeight="1">
      <c r="A97" s="321" t="s">
        <v>341</v>
      </c>
      <c r="B97" s="321" t="s">
        <v>343</v>
      </c>
      <c r="C97" s="321"/>
      <c r="D97" s="322"/>
      <c r="E97" s="322"/>
      <c r="F97" s="322"/>
      <c r="G97" s="322"/>
      <c r="H97" s="322"/>
      <c r="I97" s="322"/>
      <c r="J97" s="322"/>
      <c r="K97" s="322"/>
      <c r="L97" s="322"/>
      <c r="M97" s="322"/>
    </row>
    <row r="98" spans="1:14" ht="27.75" customHeight="1">
      <c r="A98" s="321" t="s">
        <v>89</v>
      </c>
      <c r="B98" s="321" t="s">
        <v>346</v>
      </c>
      <c r="C98" s="321"/>
      <c r="D98" s="322"/>
      <c r="E98" s="322"/>
      <c r="F98" s="322"/>
      <c r="G98" s="322"/>
      <c r="H98" s="322"/>
      <c r="I98" s="322"/>
      <c r="J98" s="322"/>
      <c r="K98" s="322"/>
      <c r="L98" s="322"/>
      <c r="M98" s="322" t="s">
        <v>2024</v>
      </c>
    </row>
    <row r="99" spans="1:13" ht="18.75" customHeight="1">
      <c r="A99" s="321" t="s">
        <v>49</v>
      </c>
      <c r="B99" s="321" t="s">
        <v>50</v>
      </c>
      <c r="C99" s="321"/>
      <c r="D99" s="322"/>
      <c r="E99" s="322"/>
      <c r="F99" s="322"/>
      <c r="G99" s="322"/>
      <c r="H99" s="322"/>
      <c r="I99" s="322"/>
      <c r="J99" s="322"/>
      <c r="K99" s="322"/>
      <c r="L99" s="322"/>
      <c r="M99" s="322"/>
    </row>
    <row r="100" spans="1:13" ht="18.75" customHeight="1">
      <c r="A100" s="321" t="s">
        <v>52</v>
      </c>
      <c r="B100" s="321" t="s">
        <v>53</v>
      </c>
      <c r="C100" s="321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</row>
    <row r="101" spans="1:13" ht="18.75" customHeight="1">
      <c r="A101" s="321" t="s">
        <v>55</v>
      </c>
      <c r="B101" s="321" t="s">
        <v>56</v>
      </c>
      <c r="C101" s="321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</row>
    <row r="102" spans="1:14" ht="18.75" customHeight="1">
      <c r="A102" s="321"/>
      <c r="B102" s="321" t="s">
        <v>64</v>
      </c>
      <c r="C102" s="321"/>
      <c r="D102" s="322" t="s">
        <v>2025</v>
      </c>
      <c r="E102" s="322" t="s">
        <v>1922</v>
      </c>
      <c r="F102" s="322" t="s">
        <v>2026</v>
      </c>
      <c r="G102" s="322" t="s">
        <v>2027</v>
      </c>
      <c r="H102" s="322"/>
      <c r="I102" s="322" t="s">
        <v>2028</v>
      </c>
      <c r="J102" s="322" t="s">
        <v>2029</v>
      </c>
      <c r="K102" s="322"/>
      <c r="L102" s="322" t="s">
        <v>2030</v>
      </c>
      <c r="M102" s="322" t="s">
        <v>2031</v>
      </c>
    </row>
    <row r="103" spans="1:13" ht="18.75" customHeight="1">
      <c r="A103" s="321"/>
      <c r="B103" s="321"/>
      <c r="C103" s="321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</row>
    <row r="104" spans="1:13" ht="18.75" customHeight="1">
      <c r="A104" s="321"/>
      <c r="B104" s="321"/>
      <c r="C104" s="321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</row>
    <row r="105" spans="1:13" ht="18.75" customHeight="1">
      <c r="A105" s="321"/>
      <c r="B105" s="321"/>
      <c r="C105" s="321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</row>
    <row r="106" spans="1:13" ht="18.75" customHeight="1">
      <c r="A106" s="321"/>
      <c r="B106" s="321"/>
      <c r="C106" s="321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</row>
    <row r="107" spans="1:13" ht="18.75" customHeight="1">
      <c r="A107" s="321"/>
      <c r="B107" s="321"/>
      <c r="C107" s="321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</row>
    <row r="108" spans="1:13" ht="18.75" customHeight="1">
      <c r="A108" s="321"/>
      <c r="B108" s="321"/>
      <c r="C108" s="321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</row>
    <row r="109" spans="1:13" ht="18.75" customHeight="1">
      <c r="A109" s="321"/>
      <c r="B109" s="321"/>
      <c r="C109" s="321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</row>
    <row r="110" spans="1:13" ht="18.75" customHeight="1">
      <c r="A110" s="321"/>
      <c r="B110" s="321"/>
      <c r="C110" s="321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</row>
    <row r="111" spans="1:13" ht="18.75" customHeight="1">
      <c r="A111" s="321"/>
      <c r="B111" s="321"/>
      <c r="C111" s="321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</row>
    <row r="112" spans="1:13" ht="18.75" customHeight="1">
      <c r="A112" s="321"/>
      <c r="B112" s="321"/>
      <c r="C112" s="321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</row>
    <row r="113" spans="1:13" ht="18.75" customHeight="1">
      <c r="A113" s="321"/>
      <c r="B113" s="321"/>
      <c r="C113" s="321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</row>
    <row r="114" spans="1:13" ht="18.75" customHeight="1">
      <c r="A114" s="321"/>
      <c r="B114" s="321"/>
      <c r="C114" s="321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</row>
    <row r="115" spans="1:13" ht="18.75" customHeight="1">
      <c r="A115" s="321"/>
      <c r="B115" s="321"/>
      <c r="C115" s="321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</row>
    <row r="116" spans="1:13" ht="18.75" customHeight="1">
      <c r="A116" s="321"/>
      <c r="B116" s="321"/>
      <c r="C116" s="321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</row>
    <row r="117" spans="1:13" ht="18.75" customHeight="1">
      <c r="A117" s="321"/>
      <c r="B117" s="321"/>
      <c r="C117" s="321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</row>
    <row r="118" ht="7.5" customHeight="1">
      <c r="A118" s="317"/>
    </row>
    <row r="119" spans="1:13" ht="26.25" customHeight="1">
      <c r="A119" s="319" t="s">
        <v>1911</v>
      </c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</row>
    <row r="120" spans="1:13" ht="18.75" customHeight="1">
      <c r="A120" s="320" t="s">
        <v>28</v>
      </c>
      <c r="B120" s="320" t="s">
        <v>69</v>
      </c>
      <c r="C120" s="320"/>
      <c r="D120" s="320" t="s">
        <v>2032</v>
      </c>
      <c r="E120" s="320"/>
      <c r="F120" s="320"/>
      <c r="G120" s="320"/>
      <c r="H120" s="320"/>
      <c r="I120" s="320"/>
      <c r="J120" s="320"/>
      <c r="K120" s="320"/>
      <c r="L120" s="320"/>
      <c r="M120" s="320"/>
    </row>
    <row r="121" spans="1:13" ht="27.75" customHeight="1">
      <c r="A121" s="321" t="s">
        <v>31</v>
      </c>
      <c r="B121" s="321" t="s">
        <v>32</v>
      </c>
      <c r="C121" s="321"/>
      <c r="D121" s="322" t="s">
        <v>2033</v>
      </c>
      <c r="E121" s="322"/>
      <c r="F121" s="322"/>
      <c r="G121" s="322"/>
      <c r="H121" s="322"/>
      <c r="I121" s="322"/>
      <c r="J121" s="322"/>
      <c r="K121" s="322"/>
      <c r="L121" s="322"/>
      <c r="M121" s="322"/>
    </row>
    <row r="122" spans="1:13" ht="18.75" customHeight="1">
      <c r="A122" s="321" t="s">
        <v>76</v>
      </c>
      <c r="B122" s="321" t="s">
        <v>77</v>
      </c>
      <c r="C122" s="321"/>
      <c r="D122" s="322" t="s">
        <v>2034</v>
      </c>
      <c r="E122" s="322"/>
      <c r="F122" s="322"/>
      <c r="G122" s="322"/>
      <c r="H122" s="322"/>
      <c r="I122" s="322"/>
      <c r="J122" s="322"/>
      <c r="K122" s="322"/>
      <c r="L122" s="322"/>
      <c r="M122" s="322"/>
    </row>
    <row r="123" spans="1:13" ht="18.75" customHeight="1">
      <c r="A123" s="321" t="s">
        <v>78</v>
      </c>
      <c r="B123" s="321" t="s">
        <v>80</v>
      </c>
      <c r="C123" s="321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</row>
    <row r="124" spans="1:13" ht="18.75" customHeight="1">
      <c r="A124" s="321" t="s">
        <v>84</v>
      </c>
      <c r="B124" s="321" t="s">
        <v>86</v>
      </c>
      <c r="C124" s="321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</row>
    <row r="125" spans="1:13" ht="18.75" customHeight="1">
      <c r="A125" s="321" t="s">
        <v>90</v>
      </c>
      <c r="B125" s="321" t="s">
        <v>92</v>
      </c>
      <c r="C125" s="321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</row>
    <row r="126" spans="1:13" ht="18.75" customHeight="1">
      <c r="A126" s="321" t="s">
        <v>94</v>
      </c>
      <c r="B126" s="321" t="s">
        <v>96</v>
      </c>
      <c r="C126" s="321"/>
      <c r="D126" s="322" t="s">
        <v>2035</v>
      </c>
      <c r="E126" s="322"/>
      <c r="F126" s="322"/>
      <c r="G126" s="322"/>
      <c r="H126" s="322"/>
      <c r="I126" s="322"/>
      <c r="J126" s="322"/>
      <c r="K126" s="322"/>
      <c r="L126" s="322"/>
      <c r="M126" s="322"/>
    </row>
    <row r="127" spans="1:13" ht="18.75" customHeight="1">
      <c r="A127" s="321" t="s">
        <v>100</v>
      </c>
      <c r="B127" s="321" t="s">
        <v>102</v>
      </c>
      <c r="C127" s="321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</row>
    <row r="128" spans="1:13" ht="18.75" customHeight="1">
      <c r="A128" s="321" t="s">
        <v>106</v>
      </c>
      <c r="B128" s="321" t="s">
        <v>108</v>
      </c>
      <c r="C128" s="321"/>
      <c r="D128" s="322" t="s">
        <v>2036</v>
      </c>
      <c r="E128" s="322"/>
      <c r="F128" s="322"/>
      <c r="G128" s="322"/>
      <c r="H128" s="322"/>
      <c r="I128" s="322"/>
      <c r="J128" s="322"/>
      <c r="K128" s="322"/>
      <c r="L128" s="322"/>
      <c r="M128" s="322"/>
    </row>
    <row r="129" spans="1:13" ht="18.75" customHeight="1">
      <c r="A129" s="321" t="s">
        <v>111</v>
      </c>
      <c r="B129" s="321" t="s">
        <v>112</v>
      </c>
      <c r="C129" s="321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</row>
    <row r="130" spans="1:13" ht="18.75" customHeight="1">
      <c r="A130" s="321" t="s">
        <v>115</v>
      </c>
      <c r="B130" s="321" t="s">
        <v>117</v>
      </c>
      <c r="C130" s="321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</row>
    <row r="131" spans="1:13" ht="18.75" customHeight="1">
      <c r="A131" s="321" t="s">
        <v>119</v>
      </c>
      <c r="B131" s="321" t="s">
        <v>121</v>
      </c>
      <c r="C131" s="321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</row>
    <row r="132" spans="1:13" ht="18.75" customHeight="1">
      <c r="A132" s="321" t="s">
        <v>124</v>
      </c>
      <c r="B132" s="321" t="s">
        <v>126</v>
      </c>
      <c r="C132" s="321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</row>
    <row r="133" spans="1:13" ht="18.75" customHeight="1">
      <c r="A133" s="321" t="s">
        <v>128</v>
      </c>
      <c r="B133" s="321" t="s">
        <v>130</v>
      </c>
      <c r="C133" s="321"/>
      <c r="D133" s="322" t="s">
        <v>2037</v>
      </c>
      <c r="E133" s="322"/>
      <c r="F133" s="322"/>
      <c r="G133" s="322"/>
      <c r="H133" s="322"/>
      <c r="I133" s="322"/>
      <c r="J133" s="322"/>
      <c r="K133" s="322"/>
      <c r="L133" s="322"/>
      <c r="M133" s="322"/>
    </row>
    <row r="134" spans="1:13" ht="18.75" customHeight="1">
      <c r="A134" s="321" t="s">
        <v>133</v>
      </c>
      <c r="B134" s="321" t="s">
        <v>135</v>
      </c>
      <c r="C134" s="321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</row>
    <row r="135" spans="1:13" ht="27.75" customHeight="1">
      <c r="A135" s="321" t="s">
        <v>138</v>
      </c>
      <c r="B135" s="321" t="s">
        <v>140</v>
      </c>
      <c r="C135" s="321"/>
      <c r="D135" s="322" t="s">
        <v>2038</v>
      </c>
      <c r="E135" s="322"/>
      <c r="F135" s="322"/>
      <c r="G135" s="322"/>
      <c r="H135" s="322"/>
      <c r="I135" s="322"/>
      <c r="J135" s="322"/>
      <c r="K135" s="322"/>
      <c r="L135" s="322"/>
      <c r="M135" s="322"/>
    </row>
    <row r="136" spans="1:13" ht="18.75" customHeight="1">
      <c r="A136" s="321" t="s">
        <v>143</v>
      </c>
      <c r="B136" s="321" t="s">
        <v>144</v>
      </c>
      <c r="C136" s="321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</row>
    <row r="137" spans="1:13" ht="18.75" customHeight="1">
      <c r="A137" s="321" t="s">
        <v>146</v>
      </c>
      <c r="B137" s="321" t="s">
        <v>148</v>
      </c>
      <c r="C137" s="321"/>
      <c r="D137" s="322" t="s">
        <v>2039</v>
      </c>
      <c r="E137" s="322"/>
      <c r="F137" s="322"/>
      <c r="G137" s="322"/>
      <c r="H137" s="322"/>
      <c r="I137" s="322"/>
      <c r="J137" s="322"/>
      <c r="K137" s="322"/>
      <c r="L137" s="322"/>
      <c r="M137" s="322"/>
    </row>
    <row r="138" spans="1:13" ht="27.75" customHeight="1">
      <c r="A138" s="321" t="s">
        <v>152</v>
      </c>
      <c r="B138" s="321" t="s">
        <v>153</v>
      </c>
      <c r="C138" s="321"/>
      <c r="D138" s="322" t="s">
        <v>2040</v>
      </c>
      <c r="E138" s="322"/>
      <c r="F138" s="322"/>
      <c r="G138" s="322"/>
      <c r="H138" s="322"/>
      <c r="I138" s="322"/>
      <c r="J138" s="322"/>
      <c r="K138" s="322"/>
      <c r="L138" s="322"/>
      <c r="M138" s="322"/>
    </row>
    <row r="139" spans="1:13" ht="18.75" customHeight="1">
      <c r="A139" s="321" t="s">
        <v>154</v>
      </c>
      <c r="B139" s="321" t="s">
        <v>80</v>
      </c>
      <c r="C139" s="321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</row>
    <row r="140" spans="1:13" ht="27.75" customHeight="1">
      <c r="A140" s="321" t="s">
        <v>157</v>
      </c>
      <c r="B140" s="321" t="s">
        <v>159</v>
      </c>
      <c r="C140" s="321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</row>
    <row r="141" ht="7.5" customHeight="1">
      <c r="A141" s="317"/>
    </row>
    <row r="142" spans="1:13" ht="26.25" customHeight="1">
      <c r="A142" s="319" t="s">
        <v>1911</v>
      </c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</row>
    <row r="143" spans="1:13" ht="18.75" customHeight="1">
      <c r="A143" s="320" t="s">
        <v>28</v>
      </c>
      <c r="B143" s="320" t="s">
        <v>69</v>
      </c>
      <c r="C143" s="320"/>
      <c r="D143" s="320" t="s">
        <v>2032</v>
      </c>
      <c r="E143" s="320"/>
      <c r="F143" s="320"/>
      <c r="G143" s="320"/>
      <c r="H143" s="320"/>
      <c r="I143" s="320"/>
      <c r="J143" s="320"/>
      <c r="K143" s="320"/>
      <c r="L143" s="320"/>
      <c r="M143" s="320"/>
    </row>
    <row r="144" spans="1:13" ht="18.75" customHeight="1">
      <c r="A144" s="321" t="s">
        <v>161</v>
      </c>
      <c r="B144" s="321" t="s">
        <v>86</v>
      </c>
      <c r="C144" s="321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</row>
    <row r="145" spans="1:13" ht="18.75" customHeight="1">
      <c r="A145" s="321" t="s">
        <v>164</v>
      </c>
      <c r="B145" s="321" t="s">
        <v>166</v>
      </c>
      <c r="C145" s="321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</row>
    <row r="146" spans="1:13" ht="18.75" customHeight="1">
      <c r="A146" s="321" t="s">
        <v>168</v>
      </c>
      <c r="B146" s="321" t="s">
        <v>96</v>
      </c>
      <c r="C146" s="321"/>
      <c r="D146" s="322" t="s">
        <v>2041</v>
      </c>
      <c r="E146" s="322"/>
      <c r="F146" s="322"/>
      <c r="G146" s="322"/>
      <c r="H146" s="322"/>
      <c r="I146" s="322"/>
      <c r="J146" s="322"/>
      <c r="K146" s="322"/>
      <c r="L146" s="322"/>
      <c r="M146" s="322"/>
    </row>
    <row r="147" spans="1:13" ht="18.75" customHeight="1">
      <c r="A147" s="321" t="s">
        <v>171</v>
      </c>
      <c r="B147" s="321" t="s">
        <v>102</v>
      </c>
      <c r="C147" s="321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</row>
    <row r="148" spans="1:13" ht="27.75" customHeight="1">
      <c r="A148" s="321" t="s">
        <v>175</v>
      </c>
      <c r="B148" s="321" t="s">
        <v>108</v>
      </c>
      <c r="C148" s="321"/>
      <c r="D148" s="322" t="s">
        <v>2042</v>
      </c>
      <c r="E148" s="322"/>
      <c r="F148" s="322"/>
      <c r="G148" s="322"/>
      <c r="H148" s="322"/>
      <c r="I148" s="322"/>
      <c r="J148" s="322"/>
      <c r="K148" s="322"/>
      <c r="L148" s="322"/>
      <c r="M148" s="322"/>
    </row>
    <row r="149" spans="1:13" ht="18.75" customHeight="1">
      <c r="A149" s="321" t="s">
        <v>178</v>
      </c>
      <c r="B149" s="321" t="s">
        <v>180</v>
      </c>
      <c r="C149" s="321"/>
      <c r="D149" s="322" t="s">
        <v>2043</v>
      </c>
      <c r="E149" s="322"/>
      <c r="F149" s="322"/>
      <c r="G149" s="322"/>
      <c r="H149" s="322"/>
      <c r="I149" s="322"/>
      <c r="J149" s="322"/>
      <c r="K149" s="322"/>
      <c r="L149" s="322"/>
      <c r="M149" s="322"/>
    </row>
    <row r="150" spans="1:13" ht="18.75" customHeight="1">
      <c r="A150" s="321" t="s">
        <v>182</v>
      </c>
      <c r="B150" s="321" t="s">
        <v>112</v>
      </c>
      <c r="C150" s="321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</row>
    <row r="151" spans="1:13" ht="18.75" customHeight="1">
      <c r="A151" s="321" t="s">
        <v>184</v>
      </c>
      <c r="B151" s="321" t="s">
        <v>117</v>
      </c>
      <c r="C151" s="321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</row>
    <row r="152" spans="1:13" ht="18.75" customHeight="1">
      <c r="A152" s="321" t="s">
        <v>187</v>
      </c>
      <c r="B152" s="321" t="s">
        <v>121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</row>
    <row r="153" spans="1:13" ht="18.75" customHeight="1">
      <c r="A153" s="321" t="s">
        <v>190</v>
      </c>
      <c r="B153" s="321" t="s">
        <v>126</v>
      </c>
      <c r="C153" s="321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</row>
    <row r="154" spans="1:13" ht="18.75" customHeight="1">
      <c r="A154" s="321" t="s">
        <v>193</v>
      </c>
      <c r="B154" s="321" t="s">
        <v>130</v>
      </c>
      <c r="C154" s="321"/>
      <c r="D154" s="322" t="s">
        <v>2044</v>
      </c>
      <c r="E154" s="322"/>
      <c r="F154" s="322"/>
      <c r="G154" s="322"/>
      <c r="H154" s="322"/>
      <c r="I154" s="322"/>
      <c r="J154" s="322"/>
      <c r="K154" s="322"/>
      <c r="L154" s="322"/>
      <c r="M154" s="322"/>
    </row>
    <row r="155" spans="1:13" ht="18.75" customHeight="1">
      <c r="A155" s="321" t="s">
        <v>196</v>
      </c>
      <c r="B155" s="321" t="s">
        <v>135</v>
      </c>
      <c r="C155" s="321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</row>
    <row r="156" spans="1:13" ht="27.75" customHeight="1">
      <c r="A156" s="321" t="s">
        <v>199</v>
      </c>
      <c r="B156" s="321" t="s">
        <v>140</v>
      </c>
      <c r="C156" s="321"/>
      <c r="D156" s="322" t="s">
        <v>2045</v>
      </c>
      <c r="E156" s="322"/>
      <c r="F156" s="322"/>
      <c r="G156" s="322"/>
      <c r="H156" s="322"/>
      <c r="I156" s="322"/>
      <c r="J156" s="322"/>
      <c r="K156" s="322"/>
      <c r="L156" s="322"/>
      <c r="M156" s="322"/>
    </row>
    <row r="157" spans="1:13" ht="18.75" customHeight="1">
      <c r="A157" s="321" t="s">
        <v>202</v>
      </c>
      <c r="B157" s="321" t="s">
        <v>144</v>
      </c>
      <c r="C157" s="321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</row>
    <row r="158" spans="1:13" ht="27.75" customHeight="1">
      <c r="A158" s="321" t="s">
        <v>203</v>
      </c>
      <c r="B158" s="321" t="s">
        <v>148</v>
      </c>
      <c r="C158" s="321"/>
      <c r="D158" s="322" t="s">
        <v>2046</v>
      </c>
      <c r="E158" s="322"/>
      <c r="F158" s="322"/>
      <c r="G158" s="322"/>
      <c r="H158" s="322"/>
      <c r="I158" s="322"/>
      <c r="J158" s="322"/>
      <c r="K158" s="322"/>
      <c r="L158" s="322"/>
      <c r="M158" s="322"/>
    </row>
    <row r="159" spans="1:13" ht="18.75" customHeight="1">
      <c r="A159" s="321" t="s">
        <v>34</v>
      </c>
      <c r="B159" s="321" t="s">
        <v>35</v>
      </c>
      <c r="C159" s="321"/>
      <c r="D159" s="322" t="s">
        <v>2047</v>
      </c>
      <c r="E159" s="322"/>
      <c r="F159" s="322"/>
      <c r="G159" s="322"/>
      <c r="H159" s="322"/>
      <c r="I159" s="322"/>
      <c r="J159" s="322"/>
      <c r="K159" s="322"/>
      <c r="L159" s="322"/>
      <c r="M159" s="322"/>
    </row>
    <row r="160" spans="1:13" ht="18.75" customHeight="1">
      <c r="A160" s="321" t="s">
        <v>206</v>
      </c>
      <c r="B160" s="321" t="s">
        <v>207</v>
      </c>
      <c r="C160" s="321"/>
      <c r="D160" s="322" t="s">
        <v>2048</v>
      </c>
      <c r="E160" s="322"/>
      <c r="F160" s="322"/>
      <c r="G160" s="322"/>
      <c r="H160" s="322"/>
      <c r="I160" s="322"/>
      <c r="J160" s="322"/>
      <c r="K160" s="322"/>
      <c r="L160" s="322"/>
      <c r="M160" s="322"/>
    </row>
    <row r="161" spans="1:13" ht="27.75" customHeight="1">
      <c r="A161" s="321" t="s">
        <v>208</v>
      </c>
      <c r="B161" s="321" t="s">
        <v>210</v>
      </c>
      <c r="C161" s="321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</row>
    <row r="162" spans="1:13" ht="18.75" customHeight="1">
      <c r="A162" s="321" t="s">
        <v>212</v>
      </c>
      <c r="B162" s="321" t="s">
        <v>92</v>
      </c>
      <c r="C162" s="321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</row>
    <row r="163" spans="1:13" ht="18.75" customHeight="1">
      <c r="A163" s="321" t="s">
        <v>215</v>
      </c>
      <c r="B163" s="321" t="s">
        <v>166</v>
      </c>
      <c r="C163" s="321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</row>
    <row r="164" ht="7.5" customHeight="1">
      <c r="A164" s="317"/>
    </row>
    <row r="165" spans="1:13" ht="26.25" customHeight="1">
      <c r="A165" s="319" t="s">
        <v>1911</v>
      </c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</row>
    <row r="166" spans="1:13" ht="18.75" customHeight="1">
      <c r="A166" s="320" t="s">
        <v>28</v>
      </c>
      <c r="B166" s="320" t="s">
        <v>69</v>
      </c>
      <c r="C166" s="320"/>
      <c r="D166" s="320" t="s">
        <v>2032</v>
      </c>
      <c r="E166" s="320"/>
      <c r="F166" s="320"/>
      <c r="G166" s="320"/>
      <c r="H166" s="320"/>
      <c r="I166" s="320"/>
      <c r="J166" s="320"/>
      <c r="K166" s="320"/>
      <c r="L166" s="320"/>
      <c r="M166" s="320"/>
    </row>
    <row r="167" spans="1:13" ht="18.75" customHeight="1">
      <c r="A167" s="321" t="s">
        <v>218</v>
      </c>
      <c r="B167" s="321" t="s">
        <v>96</v>
      </c>
      <c r="C167" s="321"/>
      <c r="D167" s="322" t="s">
        <v>2049</v>
      </c>
      <c r="E167" s="322"/>
      <c r="F167" s="322"/>
      <c r="G167" s="322"/>
      <c r="H167" s="322"/>
      <c r="I167" s="322"/>
      <c r="J167" s="322"/>
      <c r="K167" s="322"/>
      <c r="L167" s="322"/>
      <c r="M167" s="322"/>
    </row>
    <row r="168" spans="1:13" ht="18.75" customHeight="1">
      <c r="A168" s="321" t="s">
        <v>221</v>
      </c>
      <c r="B168" s="321" t="s">
        <v>102</v>
      </c>
      <c r="C168" s="321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</row>
    <row r="169" spans="1:13" ht="18.75" customHeight="1">
      <c r="A169" s="321" t="s">
        <v>224</v>
      </c>
      <c r="B169" s="321" t="s">
        <v>226</v>
      </c>
      <c r="C169" s="321"/>
      <c r="D169" s="322" t="s">
        <v>2050</v>
      </c>
      <c r="E169" s="322"/>
      <c r="F169" s="322"/>
      <c r="G169" s="322"/>
      <c r="H169" s="322"/>
      <c r="I169" s="322"/>
      <c r="J169" s="322"/>
      <c r="K169" s="322"/>
      <c r="L169" s="322"/>
      <c r="M169" s="322"/>
    </row>
    <row r="170" spans="1:13" ht="18.75" customHeight="1">
      <c r="A170" s="321" t="s">
        <v>228</v>
      </c>
      <c r="B170" s="321" t="s">
        <v>112</v>
      </c>
      <c r="C170" s="321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</row>
    <row r="171" spans="1:13" ht="18.75" customHeight="1">
      <c r="A171" s="321" t="s">
        <v>230</v>
      </c>
      <c r="B171" s="321" t="s">
        <v>117</v>
      </c>
      <c r="C171" s="321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</row>
    <row r="172" spans="1:13" ht="18.75" customHeight="1">
      <c r="A172" s="321" t="s">
        <v>233</v>
      </c>
      <c r="B172" s="321" t="s">
        <v>121</v>
      </c>
      <c r="C172" s="321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</row>
    <row r="173" spans="1:13" ht="18.75" customHeight="1">
      <c r="A173" s="321" t="s">
        <v>236</v>
      </c>
      <c r="B173" s="321" t="s">
        <v>126</v>
      </c>
      <c r="C173" s="321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</row>
    <row r="174" spans="1:13" ht="18.75" customHeight="1">
      <c r="A174" s="321" t="s">
        <v>239</v>
      </c>
      <c r="B174" s="321" t="s">
        <v>135</v>
      </c>
      <c r="C174" s="321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</row>
    <row r="175" spans="1:13" ht="18.75" customHeight="1">
      <c r="A175" s="321" t="s">
        <v>242</v>
      </c>
      <c r="B175" s="321" t="s">
        <v>130</v>
      </c>
      <c r="C175" s="321"/>
      <c r="D175" s="322" t="s">
        <v>2051</v>
      </c>
      <c r="E175" s="322"/>
      <c r="F175" s="322"/>
      <c r="G175" s="322"/>
      <c r="H175" s="322"/>
      <c r="I175" s="322"/>
      <c r="J175" s="322"/>
      <c r="K175" s="322"/>
      <c r="L175" s="322"/>
      <c r="M175" s="322"/>
    </row>
    <row r="176" spans="1:13" ht="18.75" customHeight="1">
      <c r="A176" s="321" t="s">
        <v>246</v>
      </c>
      <c r="B176" s="321" t="s">
        <v>247</v>
      </c>
      <c r="C176" s="321"/>
      <c r="D176" s="322" t="s">
        <v>2052</v>
      </c>
      <c r="E176" s="322"/>
      <c r="F176" s="322"/>
      <c r="G176" s="322"/>
      <c r="H176" s="322"/>
      <c r="I176" s="322"/>
      <c r="J176" s="322"/>
      <c r="K176" s="322"/>
      <c r="L176" s="322"/>
      <c r="M176" s="322"/>
    </row>
    <row r="177" spans="1:13" ht="27.75" customHeight="1">
      <c r="A177" s="321" t="s">
        <v>248</v>
      </c>
      <c r="B177" s="321" t="s">
        <v>210</v>
      </c>
      <c r="C177" s="321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</row>
    <row r="178" spans="1:13" ht="18.75" customHeight="1">
      <c r="A178" s="321" t="s">
        <v>251</v>
      </c>
      <c r="B178" s="321" t="s">
        <v>92</v>
      </c>
      <c r="C178" s="321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</row>
    <row r="179" spans="1:13" ht="18.75" customHeight="1">
      <c r="A179" s="321" t="s">
        <v>254</v>
      </c>
      <c r="B179" s="321" t="s">
        <v>166</v>
      </c>
      <c r="C179" s="321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</row>
    <row r="180" spans="1:13" ht="18.75" customHeight="1">
      <c r="A180" s="321" t="s">
        <v>257</v>
      </c>
      <c r="B180" s="321" t="s">
        <v>96</v>
      </c>
      <c r="C180" s="321"/>
      <c r="D180" s="322" t="s">
        <v>2053</v>
      </c>
      <c r="E180" s="322"/>
      <c r="F180" s="322"/>
      <c r="G180" s="322"/>
      <c r="H180" s="322"/>
      <c r="I180" s="322"/>
      <c r="J180" s="322"/>
      <c r="K180" s="322"/>
      <c r="L180" s="322"/>
      <c r="M180" s="322"/>
    </row>
    <row r="181" spans="1:13" ht="18.75" customHeight="1">
      <c r="A181" s="321" t="s">
        <v>260</v>
      </c>
      <c r="B181" s="321" t="s">
        <v>102</v>
      </c>
      <c r="C181" s="321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</row>
    <row r="182" spans="1:13" ht="18.75" customHeight="1">
      <c r="A182" s="321" t="s">
        <v>262</v>
      </c>
      <c r="B182" s="321" t="s">
        <v>226</v>
      </c>
      <c r="C182" s="321"/>
      <c r="D182" s="322" t="s">
        <v>2050</v>
      </c>
      <c r="E182" s="322"/>
      <c r="F182" s="322"/>
      <c r="G182" s="322"/>
      <c r="H182" s="322"/>
      <c r="I182" s="322"/>
      <c r="J182" s="322"/>
      <c r="K182" s="322"/>
      <c r="L182" s="322"/>
      <c r="M182" s="322"/>
    </row>
    <row r="183" spans="1:13" ht="18.75" customHeight="1">
      <c r="A183" s="321" t="s">
        <v>264</v>
      </c>
      <c r="B183" s="321" t="s">
        <v>112</v>
      </c>
      <c r="C183" s="321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</row>
    <row r="184" spans="1:13" ht="18.75" customHeight="1">
      <c r="A184" s="321" t="s">
        <v>265</v>
      </c>
      <c r="B184" s="321" t="s">
        <v>117</v>
      </c>
      <c r="C184" s="321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</row>
    <row r="185" spans="1:13" ht="18.75" customHeight="1">
      <c r="A185" s="321" t="s">
        <v>267</v>
      </c>
      <c r="B185" s="321" t="s">
        <v>121</v>
      </c>
      <c r="C185" s="321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</row>
    <row r="186" spans="1:13" ht="18.75" customHeight="1">
      <c r="A186" s="321" t="s">
        <v>270</v>
      </c>
      <c r="B186" s="321" t="s">
        <v>126</v>
      </c>
      <c r="C186" s="321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</row>
    <row r="187" spans="1:13" ht="18.75" customHeight="1">
      <c r="A187" s="321" t="s">
        <v>273</v>
      </c>
      <c r="B187" s="321" t="s">
        <v>135</v>
      </c>
      <c r="C187" s="321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</row>
    <row r="188" spans="1:13" ht="18" customHeight="1">
      <c r="A188" s="321" t="s">
        <v>275</v>
      </c>
      <c r="B188" s="321" t="s">
        <v>130</v>
      </c>
      <c r="C188" s="321"/>
      <c r="D188" s="322" t="s">
        <v>2051</v>
      </c>
      <c r="E188" s="322"/>
      <c r="F188" s="322"/>
      <c r="G188" s="322"/>
      <c r="H188" s="322"/>
      <c r="I188" s="322"/>
      <c r="J188" s="322"/>
      <c r="K188" s="322"/>
      <c r="L188" s="322"/>
      <c r="M188" s="322"/>
    </row>
    <row r="189" ht="7.5" customHeight="1">
      <c r="A189" s="317"/>
    </row>
    <row r="190" spans="1:13" ht="26.25" customHeight="1">
      <c r="A190" s="319" t="s">
        <v>1911</v>
      </c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19"/>
    </row>
    <row r="191" spans="1:13" ht="18.75" customHeight="1">
      <c r="A191" s="320" t="s">
        <v>28</v>
      </c>
      <c r="B191" s="320" t="s">
        <v>69</v>
      </c>
      <c r="C191" s="320"/>
      <c r="D191" s="320" t="s">
        <v>2032</v>
      </c>
      <c r="E191" s="320"/>
      <c r="F191" s="320"/>
      <c r="G191" s="320"/>
      <c r="H191" s="320"/>
      <c r="I191" s="320"/>
      <c r="J191" s="320"/>
      <c r="K191" s="320"/>
      <c r="L191" s="320"/>
      <c r="M191" s="320"/>
    </row>
    <row r="192" spans="1:13" ht="18.75" customHeight="1">
      <c r="A192" s="321" t="s">
        <v>37</v>
      </c>
      <c r="B192" s="321" t="s">
        <v>38</v>
      </c>
      <c r="C192" s="321"/>
      <c r="D192" s="322" t="s">
        <v>2054</v>
      </c>
      <c r="E192" s="322"/>
      <c r="F192" s="322"/>
      <c r="G192" s="322"/>
      <c r="H192" s="322"/>
      <c r="I192" s="322"/>
      <c r="J192" s="322"/>
      <c r="K192" s="322"/>
      <c r="L192" s="322"/>
      <c r="M192" s="322"/>
    </row>
    <row r="193" spans="1:13" ht="27.75" customHeight="1">
      <c r="A193" s="321" t="s">
        <v>277</v>
      </c>
      <c r="B193" s="321" t="s">
        <v>210</v>
      </c>
      <c r="C193" s="321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</row>
    <row r="194" spans="1:13" ht="18.75" customHeight="1">
      <c r="A194" s="321" t="s">
        <v>280</v>
      </c>
      <c r="B194" s="321" t="s">
        <v>92</v>
      </c>
      <c r="C194" s="321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</row>
    <row r="195" spans="1:13" ht="18.75" customHeight="1">
      <c r="A195" s="321" t="s">
        <v>283</v>
      </c>
      <c r="B195" s="321" t="s">
        <v>96</v>
      </c>
      <c r="C195" s="321"/>
      <c r="D195" s="322" t="s">
        <v>2055</v>
      </c>
      <c r="E195" s="322"/>
      <c r="F195" s="322"/>
      <c r="G195" s="322"/>
      <c r="H195" s="322"/>
      <c r="I195" s="322"/>
      <c r="J195" s="322"/>
      <c r="K195" s="322"/>
      <c r="L195" s="322"/>
      <c r="M195" s="322"/>
    </row>
    <row r="196" spans="1:13" ht="18.75" customHeight="1">
      <c r="A196" s="321" t="s">
        <v>286</v>
      </c>
      <c r="B196" s="321" t="s">
        <v>288</v>
      </c>
      <c r="C196" s="321"/>
      <c r="D196" s="322" t="s">
        <v>2056</v>
      </c>
      <c r="E196" s="322"/>
      <c r="F196" s="322"/>
      <c r="G196" s="322"/>
      <c r="H196" s="322"/>
      <c r="I196" s="322"/>
      <c r="J196" s="322"/>
      <c r="K196" s="322"/>
      <c r="L196" s="322"/>
      <c r="M196" s="322"/>
    </row>
    <row r="197" spans="1:13" ht="18.75" customHeight="1">
      <c r="A197" s="321" t="s">
        <v>290</v>
      </c>
      <c r="B197" s="321" t="s">
        <v>292</v>
      </c>
      <c r="C197" s="321"/>
      <c r="D197" s="322" t="s">
        <v>2057</v>
      </c>
      <c r="E197" s="322"/>
      <c r="F197" s="322"/>
      <c r="G197" s="322"/>
      <c r="H197" s="322"/>
      <c r="I197" s="322"/>
      <c r="J197" s="322"/>
      <c r="K197" s="322"/>
      <c r="L197" s="322"/>
      <c r="M197" s="322"/>
    </row>
    <row r="198" spans="1:13" ht="18.75" customHeight="1">
      <c r="A198" s="321" t="s">
        <v>294</v>
      </c>
      <c r="B198" s="321" t="s">
        <v>296</v>
      </c>
      <c r="C198" s="321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</row>
    <row r="199" spans="1:13" ht="27.75" customHeight="1">
      <c r="A199" s="321" t="s">
        <v>298</v>
      </c>
      <c r="B199" s="321" t="s">
        <v>300</v>
      </c>
      <c r="C199" s="321"/>
      <c r="D199" s="322" t="s">
        <v>2058</v>
      </c>
      <c r="E199" s="322"/>
      <c r="F199" s="322"/>
      <c r="G199" s="322"/>
      <c r="H199" s="322"/>
      <c r="I199" s="322"/>
      <c r="J199" s="322"/>
      <c r="K199" s="322"/>
      <c r="L199" s="322"/>
      <c r="M199" s="322"/>
    </row>
    <row r="200" spans="1:13" ht="27.75" customHeight="1">
      <c r="A200" s="321" t="s">
        <v>303</v>
      </c>
      <c r="B200" s="321" t="s">
        <v>305</v>
      </c>
      <c r="C200" s="321"/>
      <c r="D200" s="322" t="s">
        <v>2059</v>
      </c>
      <c r="E200" s="322"/>
      <c r="F200" s="322"/>
      <c r="G200" s="322"/>
      <c r="H200" s="322"/>
      <c r="I200" s="322"/>
      <c r="J200" s="322"/>
      <c r="K200" s="322"/>
      <c r="L200" s="322"/>
      <c r="M200" s="322"/>
    </row>
    <row r="201" spans="1:13" ht="27.75" customHeight="1">
      <c r="A201" s="321" t="s">
        <v>307</v>
      </c>
      <c r="B201" s="321" t="s">
        <v>309</v>
      </c>
      <c r="C201" s="321"/>
      <c r="D201" s="322" t="s">
        <v>2060</v>
      </c>
      <c r="E201" s="322"/>
      <c r="F201" s="322"/>
      <c r="G201" s="322"/>
      <c r="H201" s="322"/>
      <c r="I201" s="322"/>
      <c r="J201" s="322"/>
      <c r="K201" s="322"/>
      <c r="L201" s="322"/>
      <c r="M201" s="322"/>
    </row>
    <row r="202" spans="1:13" ht="27.75" customHeight="1">
      <c r="A202" s="321" t="s">
        <v>310</v>
      </c>
      <c r="B202" s="321" t="s">
        <v>312</v>
      </c>
      <c r="C202" s="321"/>
      <c r="D202" s="322" t="s">
        <v>2061</v>
      </c>
      <c r="E202" s="322"/>
      <c r="F202" s="322"/>
      <c r="G202" s="322"/>
      <c r="H202" s="322"/>
      <c r="I202" s="322"/>
      <c r="J202" s="322"/>
      <c r="K202" s="322"/>
      <c r="L202" s="322"/>
      <c r="M202" s="322"/>
    </row>
    <row r="203" spans="1:13" ht="18.75" customHeight="1">
      <c r="A203" s="321" t="s">
        <v>315</v>
      </c>
      <c r="B203" s="321" t="s">
        <v>317</v>
      </c>
      <c r="C203" s="321"/>
      <c r="D203" s="322" t="s">
        <v>2062</v>
      </c>
      <c r="E203" s="322"/>
      <c r="F203" s="322"/>
      <c r="G203" s="322"/>
      <c r="H203" s="322"/>
      <c r="I203" s="322"/>
      <c r="J203" s="322"/>
      <c r="K203" s="322"/>
      <c r="L203" s="322"/>
      <c r="M203" s="322"/>
    </row>
    <row r="204" spans="1:13" ht="18.75" customHeight="1">
      <c r="A204" s="321" t="s">
        <v>319</v>
      </c>
      <c r="B204" s="321" t="s">
        <v>321</v>
      </c>
      <c r="C204" s="321"/>
      <c r="D204" s="322" t="s">
        <v>2063</v>
      </c>
      <c r="E204" s="322"/>
      <c r="F204" s="322"/>
      <c r="G204" s="322"/>
      <c r="H204" s="322"/>
      <c r="I204" s="322"/>
      <c r="J204" s="322"/>
      <c r="K204" s="322"/>
      <c r="L204" s="322"/>
      <c r="M204" s="322"/>
    </row>
    <row r="205" spans="1:13" ht="18.75" customHeight="1">
      <c r="A205" s="321" t="s">
        <v>323</v>
      </c>
      <c r="B205" s="321" t="s">
        <v>130</v>
      </c>
      <c r="C205" s="321"/>
      <c r="D205" s="322" t="s">
        <v>2064</v>
      </c>
      <c r="E205" s="322"/>
      <c r="F205" s="322"/>
      <c r="G205" s="322"/>
      <c r="H205" s="322"/>
      <c r="I205" s="322"/>
      <c r="J205" s="322"/>
      <c r="K205" s="322"/>
      <c r="L205" s="322"/>
      <c r="M205" s="322"/>
    </row>
    <row r="206" spans="1:13" ht="18.75" customHeight="1">
      <c r="A206" s="321" t="s">
        <v>40</v>
      </c>
      <c r="B206" s="321" t="s">
        <v>41</v>
      </c>
      <c r="C206" s="321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</row>
    <row r="207" spans="1:13" ht="27.75" customHeight="1">
      <c r="A207" s="321" t="s">
        <v>326</v>
      </c>
      <c r="B207" s="321" t="s">
        <v>328</v>
      </c>
      <c r="C207" s="321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</row>
    <row r="208" spans="1:13" ht="27.75" customHeight="1">
      <c r="A208" s="321" t="s">
        <v>331</v>
      </c>
      <c r="B208" s="321" t="s">
        <v>333</v>
      </c>
      <c r="C208" s="321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</row>
    <row r="209" spans="1:13" ht="18.75" customHeight="1">
      <c r="A209" s="321" t="s">
        <v>43</v>
      </c>
      <c r="B209" s="321" t="s">
        <v>44</v>
      </c>
      <c r="C209" s="321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</row>
    <row r="210" spans="1:13" ht="18.75" customHeight="1">
      <c r="A210" s="321" t="s">
        <v>46</v>
      </c>
      <c r="B210" s="321" t="s">
        <v>47</v>
      </c>
      <c r="C210" s="321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</row>
    <row r="211" ht="7.5" customHeight="1">
      <c r="A211" s="317"/>
    </row>
    <row r="212" spans="1:13" ht="26.25" customHeight="1">
      <c r="A212" s="319" t="s">
        <v>1911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</row>
    <row r="213" spans="1:13" ht="18.75" customHeight="1">
      <c r="A213" s="320" t="s">
        <v>28</v>
      </c>
      <c r="B213" s="320" t="s">
        <v>69</v>
      </c>
      <c r="C213" s="320"/>
      <c r="D213" s="320" t="s">
        <v>2032</v>
      </c>
      <c r="E213" s="320"/>
      <c r="F213" s="320"/>
      <c r="G213" s="320"/>
      <c r="H213" s="320"/>
      <c r="I213" s="320"/>
      <c r="J213" s="320"/>
      <c r="K213" s="320"/>
      <c r="L213" s="320"/>
      <c r="M213" s="320"/>
    </row>
    <row r="214" spans="1:13" ht="27.75" customHeight="1">
      <c r="A214" s="321" t="s">
        <v>341</v>
      </c>
      <c r="B214" s="321" t="s">
        <v>343</v>
      </c>
      <c r="C214" s="321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</row>
    <row r="215" spans="1:13" ht="27.75" customHeight="1">
      <c r="A215" s="321" t="s">
        <v>89</v>
      </c>
      <c r="B215" s="321" t="s">
        <v>346</v>
      </c>
      <c r="C215" s="321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</row>
    <row r="216" spans="1:13" ht="18.75" customHeight="1">
      <c r="A216" s="321" t="s">
        <v>49</v>
      </c>
      <c r="B216" s="321" t="s">
        <v>50</v>
      </c>
      <c r="C216" s="321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</row>
    <row r="217" spans="1:13" ht="18.75" customHeight="1">
      <c r="A217" s="321" t="s">
        <v>52</v>
      </c>
      <c r="B217" s="321" t="s">
        <v>53</v>
      </c>
      <c r="C217" s="321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</row>
    <row r="218" spans="1:13" ht="18.75" customHeight="1">
      <c r="A218" s="321" t="s">
        <v>55</v>
      </c>
      <c r="B218" s="321" t="s">
        <v>56</v>
      </c>
      <c r="C218" s="321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</row>
    <row r="219" spans="1:13" ht="27.75" customHeight="1">
      <c r="A219" s="321"/>
      <c r="B219" s="321" t="s">
        <v>64</v>
      </c>
      <c r="C219" s="321"/>
      <c r="D219" s="322" t="s">
        <v>2065</v>
      </c>
      <c r="E219" s="322"/>
      <c r="F219" s="322"/>
      <c r="G219" s="322"/>
      <c r="H219" s="322"/>
      <c r="I219" s="322"/>
      <c r="J219" s="322"/>
      <c r="K219" s="322"/>
      <c r="L219" s="322"/>
      <c r="M219" s="322"/>
    </row>
    <row r="220" spans="1:13" ht="18.75" customHeight="1">
      <c r="A220" s="321"/>
      <c r="B220" s="321"/>
      <c r="C220" s="321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</row>
    <row r="221" spans="1:13" ht="18.75" customHeight="1">
      <c r="A221" s="321"/>
      <c r="B221" s="321"/>
      <c r="C221" s="321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</row>
    <row r="222" spans="1:13" ht="18.75" customHeight="1">
      <c r="A222" s="321"/>
      <c r="B222" s="321"/>
      <c r="C222" s="321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</row>
    <row r="223" spans="1:13" ht="18.75" customHeight="1">
      <c r="A223" s="321"/>
      <c r="B223" s="321"/>
      <c r="C223" s="321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</row>
    <row r="224" spans="1:13" ht="18.75" customHeight="1">
      <c r="A224" s="321"/>
      <c r="B224" s="321"/>
      <c r="C224" s="321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</row>
    <row r="225" spans="1:13" ht="18.75" customHeight="1">
      <c r="A225" s="321"/>
      <c r="B225" s="321"/>
      <c r="C225" s="321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</row>
    <row r="226" spans="1:13" ht="18.75" customHeight="1">
      <c r="A226" s="321"/>
      <c r="B226" s="321"/>
      <c r="C226" s="321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</row>
    <row r="227" spans="1:13" ht="18.75" customHeight="1">
      <c r="A227" s="321"/>
      <c r="B227" s="321"/>
      <c r="C227" s="321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</row>
    <row r="228" spans="1:13" ht="18.75" customHeight="1">
      <c r="A228" s="321"/>
      <c r="B228" s="321"/>
      <c r="C228" s="321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</row>
    <row r="229" spans="1:13" ht="18.75" customHeight="1">
      <c r="A229" s="321"/>
      <c r="B229" s="321"/>
      <c r="C229" s="321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</row>
    <row r="230" spans="1:13" ht="18.75" customHeight="1">
      <c r="A230" s="321"/>
      <c r="B230" s="321"/>
      <c r="C230" s="321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</row>
    <row r="231" spans="1:13" ht="18.75" customHeight="1">
      <c r="A231" s="321"/>
      <c r="B231" s="321"/>
      <c r="C231" s="321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</row>
    <row r="232" spans="1:13" ht="18.75" customHeight="1">
      <c r="A232" s="321"/>
      <c r="B232" s="321"/>
      <c r="C232" s="321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</row>
    <row r="233" spans="1:13" ht="18.75" customHeight="1">
      <c r="A233" s="321"/>
      <c r="B233" s="321"/>
      <c r="C233" s="321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</row>
    <row r="234" spans="1:13" ht="18.75" customHeight="1">
      <c r="A234" s="321"/>
      <c r="B234" s="321"/>
      <c r="C234" s="321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</row>
  </sheetData>
  <mergeCells count="224">
    <mergeCell ref="A2:M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6:M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0:M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74:M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95:M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9:M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A142:M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5:M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90:M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2:M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</mergeCells>
  <printOptions horizontalCentered="1"/>
  <pageMargins left="0" right="0" top="0.9055099999999999" bottom="0" header="0.55118" footer="0.3937"/>
  <pageSetup firstPageNumber="64" useFirstPageNumber="1" horizontalDpi="300" verticalDpi="300" orientation="landscape" pageOrder="overThenDown" paperSize="9"/>
  <headerFooter alignWithMargins="0">
    <oddFooter>&amp;L&amp;C&amp;P&amp;R</oddFooter>
  </headerFooter>
  <rowBreaks count="9" manualBreakCount="9">
    <brk id="24" max="255" man="1"/>
    <brk id="48" max="255" man="1"/>
    <brk id="72" max="255" man="1"/>
    <brk id="93" max="255" man="1"/>
    <brk id="117" max="255" man="1"/>
    <brk id="140" max="255" man="1"/>
    <brk id="163" max="255" man="1"/>
    <brk id="188" max="255" man="1"/>
    <brk id="21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105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57421875" style="0" customWidth="1"/>
    <col min="2" max="2" width="12.8515625" style="0" customWidth="1"/>
    <col min="3" max="3" width="19.421875" style="0" customWidth="1"/>
    <col min="4" max="4" width="32.140625" style="0" customWidth="1"/>
    <col min="5" max="5" width="5.00390625" style="0" customWidth="1"/>
    <col min="6" max="6" width="9.28125" style="0" customWidth="1"/>
    <col min="7" max="7" width="11.00390625" style="0" customWidth="1"/>
  </cols>
  <sheetData>
    <row r="1" spans="1:6" ht="7.5" customHeight="1">
      <c r="A1" s="344"/>
      <c r="B1" s="345"/>
      <c r="C1" s="345"/>
      <c r="D1" s="345"/>
      <c r="E1" s="345"/>
      <c r="F1" s="345"/>
    </row>
    <row r="2" spans="1:6" ht="26.25" customHeight="1">
      <c r="A2" s="346" t="s">
        <v>2066</v>
      </c>
      <c r="B2" s="346"/>
      <c r="C2" s="346"/>
      <c r="D2" s="346"/>
      <c r="E2" s="346"/>
      <c r="F2" s="346"/>
    </row>
    <row r="3" spans="1:7" ht="18.75" customHeight="1">
      <c r="A3" s="347" t="s">
        <v>28</v>
      </c>
      <c r="B3" s="347" t="s">
        <v>68</v>
      </c>
      <c r="C3" s="347" t="s">
        <v>690</v>
      </c>
      <c r="D3" s="347" t="s">
        <v>2067</v>
      </c>
      <c r="E3" s="347" t="s">
        <v>2068</v>
      </c>
      <c r="F3" s="347" t="s">
        <v>691</v>
      </c>
    </row>
    <row r="4" spans="1:6" ht="18.75" customHeight="1">
      <c r="A4" s="348" t="s">
        <v>31</v>
      </c>
      <c r="B4" s="349"/>
      <c r="C4" s="348" t="s">
        <v>32</v>
      </c>
      <c r="D4" s="348"/>
      <c r="E4" s="349"/>
      <c r="F4" s="350"/>
    </row>
    <row r="5" spans="1:6" ht="18.75" customHeight="1">
      <c r="A5" s="348" t="s">
        <v>76</v>
      </c>
      <c r="B5" s="349"/>
      <c r="C5" s="348" t="s">
        <v>77</v>
      </c>
      <c r="D5" s="348"/>
      <c r="E5" s="349"/>
      <c r="F5" s="350"/>
    </row>
    <row r="6" spans="1:7" ht="18.75" customHeight="1">
      <c r="A6" s="348" t="s">
        <v>78</v>
      </c>
      <c r="B6" s="349" t="s">
        <v>79</v>
      </c>
      <c r="C6" s="348" t="s">
        <v>80</v>
      </c>
      <c r="D6" s="348"/>
      <c r="E6" s="349" t="s">
        <v>81</v>
      </c>
      <c r="F6" s="350" t="s">
        <v>82</v>
      </c>
    </row>
    <row r="7" spans="1:7" ht="18.75" customHeight="1">
      <c r="A7" s="348" t="s">
        <v>84</v>
      </c>
      <c r="B7" s="349" t="s">
        <v>85</v>
      </c>
      <c r="C7" s="348" t="s">
        <v>86</v>
      </c>
      <c r="D7" s="348"/>
      <c r="E7" s="349" t="s">
        <v>87</v>
      </c>
      <c r="F7" s="350" t="s">
        <v>88</v>
      </c>
    </row>
    <row r="8" spans="1:7" ht="18.75" customHeight="1">
      <c r="A8" s="348" t="s">
        <v>90</v>
      </c>
      <c r="B8" s="349" t="s">
        <v>91</v>
      </c>
      <c r="C8" s="348" t="s">
        <v>92</v>
      </c>
      <c r="D8" s="348"/>
      <c r="E8" s="349" t="s">
        <v>81</v>
      </c>
      <c r="F8" s="350" t="s">
        <v>93</v>
      </c>
    </row>
    <row r="9" spans="1:7" ht="27.75" customHeight="1">
      <c r="A9" s="348" t="s">
        <v>94</v>
      </c>
      <c r="B9" s="349" t="s">
        <v>95</v>
      </c>
      <c r="C9" s="348" t="s">
        <v>96</v>
      </c>
      <c r="D9" s="348"/>
      <c r="E9" s="349" t="s">
        <v>97</v>
      </c>
      <c r="F9" s="350" t="s">
        <v>98</v>
      </c>
    </row>
    <row r="10" spans="1:7" ht="27.75" customHeight="1">
      <c r="A10" s="348" t="s">
        <v>100</v>
      </c>
      <c r="B10" s="349" t="s">
        <v>101</v>
      </c>
      <c r="C10" s="348" t="s">
        <v>102</v>
      </c>
      <c r="D10" s="348"/>
      <c r="E10" s="349" t="s">
        <v>103</v>
      </c>
      <c r="F10" s="350" t="s">
        <v>104</v>
      </c>
    </row>
    <row r="11" spans="1:7" ht="18.75" customHeight="1">
      <c r="A11" s="348" t="s">
        <v>106</v>
      </c>
      <c r="B11" s="349" t="s">
        <v>107</v>
      </c>
      <c r="C11" s="348" t="s">
        <v>108</v>
      </c>
      <c r="D11" s="348"/>
      <c r="E11" s="349" t="s">
        <v>81</v>
      </c>
      <c r="F11" s="350" t="s">
        <v>109</v>
      </c>
    </row>
    <row r="12" spans="1:7" ht="18.75" customHeight="1">
      <c r="A12" s="348" t="s">
        <v>111</v>
      </c>
      <c r="B12" s="349"/>
      <c r="C12" s="348" t="s">
        <v>112</v>
      </c>
      <c r="D12" s="348"/>
      <c r="E12" s="349" t="s">
        <v>113</v>
      </c>
      <c r="F12" s="350" t="s">
        <v>114</v>
      </c>
    </row>
    <row r="13" spans="1:7" ht="18.75" customHeight="1">
      <c r="A13" s="348" t="s">
        <v>115</v>
      </c>
      <c r="B13" s="349" t="s">
        <v>116</v>
      </c>
      <c r="C13" s="348" t="s">
        <v>117</v>
      </c>
      <c r="D13" s="348"/>
      <c r="E13" s="349" t="s">
        <v>81</v>
      </c>
      <c r="F13" s="350" t="s">
        <v>118</v>
      </c>
    </row>
    <row r="14" spans="1:7" ht="18.75" customHeight="1">
      <c r="A14" s="348" t="s">
        <v>119</v>
      </c>
      <c r="B14" s="349" t="s">
        <v>120</v>
      </c>
      <c r="C14" s="348" t="s">
        <v>121</v>
      </c>
      <c r="D14" s="348"/>
      <c r="E14" s="349" t="s">
        <v>87</v>
      </c>
      <c r="F14" s="350" t="s">
        <v>122</v>
      </c>
    </row>
    <row r="15" spans="1:7" ht="27.75" customHeight="1">
      <c r="A15" s="348" t="s">
        <v>124</v>
      </c>
      <c r="B15" s="349" t="s">
        <v>125</v>
      </c>
      <c r="C15" s="348" t="s">
        <v>126</v>
      </c>
      <c r="D15" s="348"/>
      <c r="E15" s="349" t="s">
        <v>97</v>
      </c>
      <c r="F15" s="350" t="s">
        <v>127</v>
      </c>
    </row>
    <row r="16" spans="1:7" ht="18.75" customHeight="1">
      <c r="A16" s="348" t="s">
        <v>128</v>
      </c>
      <c r="B16" s="349" t="s">
        <v>129</v>
      </c>
      <c r="C16" s="348" t="s">
        <v>130</v>
      </c>
      <c r="D16" s="348"/>
      <c r="E16" s="349" t="s">
        <v>87</v>
      </c>
      <c r="F16" s="350" t="s">
        <v>131</v>
      </c>
    </row>
    <row r="17" spans="1:7" ht="18.75" customHeight="1">
      <c r="A17" s="348" t="s">
        <v>133</v>
      </c>
      <c r="B17" s="349" t="s">
        <v>134</v>
      </c>
      <c r="C17" s="348" t="s">
        <v>135</v>
      </c>
      <c r="D17" s="348"/>
      <c r="E17" s="349" t="s">
        <v>87</v>
      </c>
      <c r="F17" s="350" t="s">
        <v>136</v>
      </c>
    </row>
    <row r="18" spans="1:7" ht="18.75" customHeight="1">
      <c r="A18" s="348" t="s">
        <v>138</v>
      </c>
      <c r="B18" s="349" t="s">
        <v>139</v>
      </c>
      <c r="C18" s="348" t="s">
        <v>140</v>
      </c>
      <c r="D18" s="348"/>
      <c r="E18" s="349" t="s">
        <v>81</v>
      </c>
      <c r="F18" s="350" t="s">
        <v>141</v>
      </c>
    </row>
    <row r="19" spans="1:7" ht="18.75" customHeight="1">
      <c r="A19" s="348" t="s">
        <v>143</v>
      </c>
      <c r="B19" s="349"/>
      <c r="C19" s="348" t="s">
        <v>144</v>
      </c>
      <c r="D19" s="348"/>
      <c r="E19" s="349" t="s">
        <v>145</v>
      </c>
      <c r="F19" s="350" t="s">
        <v>141</v>
      </c>
    </row>
    <row r="20" spans="1:7" ht="18.75" customHeight="1">
      <c r="A20" s="348" t="s">
        <v>146</v>
      </c>
      <c r="B20" s="349" t="s">
        <v>147</v>
      </c>
      <c r="C20" s="348" t="s">
        <v>148</v>
      </c>
      <c r="D20" s="348"/>
      <c r="E20" s="349" t="s">
        <v>149</v>
      </c>
      <c r="F20" s="350" t="s">
        <v>150</v>
      </c>
    </row>
    <row r="21" spans="1:6" ht="18.75" customHeight="1">
      <c r="A21" s="348" t="s">
        <v>152</v>
      </c>
      <c r="B21" s="349"/>
      <c r="C21" s="348" t="s">
        <v>153</v>
      </c>
      <c r="D21" s="348"/>
      <c r="E21" s="349"/>
      <c r="F21" s="350"/>
    </row>
    <row r="22" spans="1:7" ht="18.75" customHeight="1">
      <c r="A22" s="348" t="s">
        <v>154</v>
      </c>
      <c r="B22" s="349" t="s">
        <v>155</v>
      </c>
      <c r="C22" s="348" t="s">
        <v>80</v>
      </c>
      <c r="D22" s="348"/>
      <c r="E22" s="349" t="s">
        <v>81</v>
      </c>
      <c r="F22" s="350" t="s">
        <v>156</v>
      </c>
    </row>
    <row r="23" spans="1:7" ht="18.75" customHeight="1">
      <c r="A23" s="348" t="s">
        <v>157</v>
      </c>
      <c r="B23" s="349" t="s">
        <v>158</v>
      </c>
      <c r="C23" s="348" t="s">
        <v>159</v>
      </c>
      <c r="D23" s="348"/>
      <c r="E23" s="349" t="s">
        <v>81</v>
      </c>
      <c r="F23" s="350" t="s">
        <v>160</v>
      </c>
    </row>
    <row r="24" spans="1:7" ht="18.75" customHeight="1">
      <c r="A24" s="348" t="s">
        <v>161</v>
      </c>
      <c r="B24" s="349" t="s">
        <v>162</v>
      </c>
      <c r="C24" s="348" t="s">
        <v>86</v>
      </c>
      <c r="D24" s="348"/>
      <c r="E24" s="349" t="s">
        <v>87</v>
      </c>
      <c r="F24" s="350" t="s">
        <v>163</v>
      </c>
    </row>
    <row r="25" spans="1:7" ht="18.75" customHeight="1">
      <c r="A25" s="348" t="s">
        <v>164</v>
      </c>
      <c r="B25" s="349" t="s">
        <v>165</v>
      </c>
      <c r="C25" s="348" t="s">
        <v>166</v>
      </c>
      <c r="D25" s="348"/>
      <c r="E25" s="349" t="s">
        <v>81</v>
      </c>
      <c r="F25" s="350" t="s">
        <v>167</v>
      </c>
    </row>
    <row r="26" spans="1:7" ht="27.75" customHeight="1">
      <c r="A26" s="348" t="s">
        <v>168</v>
      </c>
      <c r="B26" s="349" t="s">
        <v>169</v>
      </c>
      <c r="C26" s="348" t="s">
        <v>96</v>
      </c>
      <c r="D26" s="348"/>
      <c r="E26" s="349" t="s">
        <v>97</v>
      </c>
      <c r="F26" s="350" t="s">
        <v>170</v>
      </c>
    </row>
    <row r="27" spans="1:7" ht="27.75" customHeight="1">
      <c r="A27" s="348" t="s">
        <v>171</v>
      </c>
      <c r="B27" s="349" t="s">
        <v>172</v>
      </c>
      <c r="C27" s="348" t="s">
        <v>102</v>
      </c>
      <c r="D27" s="348"/>
      <c r="E27" s="349" t="s">
        <v>103</v>
      </c>
      <c r="F27" s="350" t="s">
        <v>173</v>
      </c>
    </row>
    <row r="28" spans="1:7" ht="18.75" customHeight="1">
      <c r="A28" s="348" t="s">
        <v>175</v>
      </c>
      <c r="B28" s="349" t="s">
        <v>176</v>
      </c>
      <c r="C28" s="348" t="s">
        <v>108</v>
      </c>
      <c r="D28" s="348"/>
      <c r="E28" s="349" t="s">
        <v>81</v>
      </c>
      <c r="F28" s="350" t="s">
        <v>177</v>
      </c>
    </row>
    <row r="29" spans="1:7" ht="18.75" customHeight="1">
      <c r="A29" s="348" t="s">
        <v>178</v>
      </c>
      <c r="B29" s="349" t="s">
        <v>179</v>
      </c>
      <c r="C29" s="348" t="s">
        <v>180</v>
      </c>
      <c r="D29" s="348"/>
      <c r="E29" s="349" t="s">
        <v>81</v>
      </c>
      <c r="F29" s="350" t="s">
        <v>181</v>
      </c>
    </row>
    <row r="30" spans="1:7" ht="18.75" customHeight="1">
      <c r="A30" s="348" t="s">
        <v>182</v>
      </c>
      <c r="B30" s="349"/>
      <c r="C30" s="348" t="s">
        <v>112</v>
      </c>
      <c r="D30" s="348"/>
      <c r="E30" s="349" t="s">
        <v>113</v>
      </c>
      <c r="F30" s="350" t="s">
        <v>183</v>
      </c>
    </row>
    <row r="31" spans="1:7" ht="18.75" customHeight="1">
      <c r="A31" s="348" t="s">
        <v>184</v>
      </c>
      <c r="B31" s="349" t="s">
        <v>185</v>
      </c>
      <c r="C31" s="348" t="s">
        <v>117</v>
      </c>
      <c r="D31" s="348"/>
      <c r="E31" s="349" t="s">
        <v>81</v>
      </c>
      <c r="F31" s="350" t="s">
        <v>186</v>
      </c>
    </row>
    <row r="32" spans="1:7" ht="18.75" customHeight="1">
      <c r="A32" s="348" t="s">
        <v>187</v>
      </c>
      <c r="B32" s="349" t="s">
        <v>188</v>
      </c>
      <c r="C32" s="348" t="s">
        <v>121</v>
      </c>
      <c r="D32" s="348"/>
      <c r="E32" s="349" t="s">
        <v>87</v>
      </c>
      <c r="F32" s="350" t="s">
        <v>189</v>
      </c>
    </row>
    <row r="33" spans="1:7" ht="27.75" customHeight="1">
      <c r="A33" s="348" t="s">
        <v>190</v>
      </c>
      <c r="B33" s="349" t="s">
        <v>191</v>
      </c>
      <c r="C33" s="348" t="s">
        <v>126</v>
      </c>
      <c r="D33" s="348"/>
      <c r="E33" s="349" t="s">
        <v>97</v>
      </c>
      <c r="F33" s="350" t="s">
        <v>192</v>
      </c>
    </row>
    <row r="34" spans="1:7" ht="18.75" customHeight="1">
      <c r="A34" s="348" t="s">
        <v>193</v>
      </c>
      <c r="B34" s="349" t="s">
        <v>194</v>
      </c>
      <c r="C34" s="348" t="s">
        <v>130</v>
      </c>
      <c r="D34" s="348"/>
      <c r="E34" s="349" t="s">
        <v>87</v>
      </c>
      <c r="F34" s="350" t="s">
        <v>195</v>
      </c>
    </row>
    <row r="35" ht="7.5" customHeight="1">
      <c r="A35" s="344"/>
    </row>
    <row r="36" spans="1:6" ht="26.25" customHeight="1">
      <c r="A36" s="346" t="s">
        <v>2066</v>
      </c>
      <c r="B36" s="346"/>
      <c r="C36" s="346"/>
      <c r="D36" s="346"/>
      <c r="E36" s="346"/>
      <c r="F36" s="346"/>
    </row>
    <row r="37" spans="1:7" ht="18.75" customHeight="1">
      <c r="A37" s="347" t="s">
        <v>28</v>
      </c>
      <c r="B37" s="347" t="s">
        <v>68</v>
      </c>
      <c r="C37" s="347" t="s">
        <v>690</v>
      </c>
      <c r="D37" s="347" t="s">
        <v>2067</v>
      </c>
      <c r="E37" s="347" t="s">
        <v>2068</v>
      </c>
      <c r="F37" s="347" t="s">
        <v>691</v>
      </c>
    </row>
    <row r="38" spans="1:7" ht="18.75" customHeight="1">
      <c r="A38" s="348" t="s">
        <v>196</v>
      </c>
      <c r="B38" s="349" t="s">
        <v>197</v>
      </c>
      <c r="C38" s="348" t="s">
        <v>135</v>
      </c>
      <c r="D38" s="348"/>
      <c r="E38" s="349" t="s">
        <v>87</v>
      </c>
      <c r="F38" s="350" t="s">
        <v>198</v>
      </c>
    </row>
    <row r="39" spans="1:7" ht="18.75" customHeight="1">
      <c r="A39" s="348" t="s">
        <v>199</v>
      </c>
      <c r="B39" s="349" t="s">
        <v>200</v>
      </c>
      <c r="C39" s="348" t="s">
        <v>140</v>
      </c>
      <c r="D39" s="348"/>
      <c r="E39" s="349" t="s">
        <v>81</v>
      </c>
      <c r="F39" s="350" t="s">
        <v>201</v>
      </c>
    </row>
    <row r="40" spans="1:7" ht="18.75" customHeight="1">
      <c r="A40" s="348" t="s">
        <v>202</v>
      </c>
      <c r="B40" s="349"/>
      <c r="C40" s="348" t="s">
        <v>144</v>
      </c>
      <c r="D40" s="348"/>
      <c r="E40" s="349" t="s">
        <v>145</v>
      </c>
      <c r="F40" s="350" t="s">
        <v>201</v>
      </c>
    </row>
    <row r="41" spans="1:7" ht="18.75" customHeight="1">
      <c r="A41" s="348" t="s">
        <v>203</v>
      </c>
      <c r="B41" s="349" t="s">
        <v>204</v>
      </c>
      <c r="C41" s="348" t="s">
        <v>148</v>
      </c>
      <c r="D41" s="348"/>
      <c r="E41" s="349" t="s">
        <v>149</v>
      </c>
      <c r="F41" s="350" t="s">
        <v>205</v>
      </c>
    </row>
    <row r="42" spans="1:6" ht="18.75" customHeight="1">
      <c r="A42" s="348" t="s">
        <v>34</v>
      </c>
      <c r="B42" s="349"/>
      <c r="C42" s="348" t="s">
        <v>35</v>
      </c>
      <c r="D42" s="348"/>
      <c r="E42" s="349"/>
      <c r="F42" s="350"/>
    </row>
    <row r="43" spans="1:6" ht="18.75" customHeight="1">
      <c r="A43" s="348" t="s">
        <v>206</v>
      </c>
      <c r="B43" s="349"/>
      <c r="C43" s="348" t="s">
        <v>207</v>
      </c>
      <c r="D43" s="348"/>
      <c r="E43" s="349"/>
      <c r="F43" s="350"/>
    </row>
    <row r="44" spans="1:7" ht="18.75" customHeight="1">
      <c r="A44" s="348" t="s">
        <v>208</v>
      </c>
      <c r="B44" s="349" t="s">
        <v>209</v>
      </c>
      <c r="C44" s="348" t="s">
        <v>210</v>
      </c>
      <c r="D44" s="348"/>
      <c r="E44" s="349" t="s">
        <v>81</v>
      </c>
      <c r="F44" s="350" t="s">
        <v>211</v>
      </c>
    </row>
    <row r="45" spans="1:7" ht="18.75" customHeight="1">
      <c r="A45" s="348" t="s">
        <v>212</v>
      </c>
      <c r="B45" s="349" t="s">
        <v>213</v>
      </c>
      <c r="C45" s="348" t="s">
        <v>92</v>
      </c>
      <c r="D45" s="348"/>
      <c r="E45" s="349" t="s">
        <v>81</v>
      </c>
      <c r="F45" s="350" t="s">
        <v>214</v>
      </c>
    </row>
    <row r="46" spans="1:7" ht="18.75" customHeight="1">
      <c r="A46" s="348" t="s">
        <v>215</v>
      </c>
      <c r="B46" s="349" t="s">
        <v>216</v>
      </c>
      <c r="C46" s="348" t="s">
        <v>166</v>
      </c>
      <c r="D46" s="348"/>
      <c r="E46" s="349" t="s">
        <v>81</v>
      </c>
      <c r="F46" s="350" t="s">
        <v>217</v>
      </c>
    </row>
    <row r="47" spans="1:7" ht="27.75" customHeight="1">
      <c r="A47" s="348" t="s">
        <v>218</v>
      </c>
      <c r="B47" s="349" t="s">
        <v>219</v>
      </c>
      <c r="C47" s="348" t="s">
        <v>96</v>
      </c>
      <c r="D47" s="348"/>
      <c r="E47" s="349" t="s">
        <v>97</v>
      </c>
      <c r="F47" s="350" t="s">
        <v>220</v>
      </c>
    </row>
    <row r="48" spans="1:7" ht="27.75" customHeight="1">
      <c r="A48" s="348" t="s">
        <v>221</v>
      </c>
      <c r="B48" s="349" t="s">
        <v>222</v>
      </c>
      <c r="C48" s="348" t="s">
        <v>102</v>
      </c>
      <c r="D48" s="348"/>
      <c r="E48" s="349" t="s">
        <v>103</v>
      </c>
      <c r="F48" s="350" t="s">
        <v>223</v>
      </c>
    </row>
    <row r="49" spans="1:7" ht="18.75" customHeight="1">
      <c r="A49" s="348" t="s">
        <v>224</v>
      </c>
      <c r="B49" s="349" t="s">
        <v>225</v>
      </c>
      <c r="C49" s="348" t="s">
        <v>226</v>
      </c>
      <c r="D49" s="348"/>
      <c r="E49" s="349" t="s">
        <v>81</v>
      </c>
      <c r="F49" s="350" t="s">
        <v>227</v>
      </c>
    </row>
    <row r="50" spans="1:7" ht="18.75" customHeight="1">
      <c r="A50" s="348" t="s">
        <v>228</v>
      </c>
      <c r="B50" s="349"/>
      <c r="C50" s="348" t="s">
        <v>112</v>
      </c>
      <c r="D50" s="348"/>
      <c r="E50" s="349" t="s">
        <v>113</v>
      </c>
      <c r="F50" s="350" t="s">
        <v>229</v>
      </c>
    </row>
    <row r="51" spans="1:7" ht="18.75" customHeight="1">
      <c r="A51" s="348" t="s">
        <v>230</v>
      </c>
      <c r="B51" s="349" t="s">
        <v>231</v>
      </c>
      <c r="C51" s="348" t="s">
        <v>117</v>
      </c>
      <c r="D51" s="348"/>
      <c r="E51" s="349" t="s">
        <v>81</v>
      </c>
      <c r="F51" s="350" t="s">
        <v>232</v>
      </c>
    </row>
    <row r="52" spans="1:7" ht="18.75" customHeight="1">
      <c r="A52" s="348" t="s">
        <v>233</v>
      </c>
      <c r="B52" s="349" t="s">
        <v>234</v>
      </c>
      <c r="C52" s="348" t="s">
        <v>121</v>
      </c>
      <c r="D52" s="348"/>
      <c r="E52" s="349" t="s">
        <v>87</v>
      </c>
      <c r="F52" s="350" t="s">
        <v>235</v>
      </c>
    </row>
    <row r="53" spans="1:7" ht="27.75" customHeight="1">
      <c r="A53" s="348" t="s">
        <v>236</v>
      </c>
      <c r="B53" s="349" t="s">
        <v>237</v>
      </c>
      <c r="C53" s="348" t="s">
        <v>126</v>
      </c>
      <c r="D53" s="348"/>
      <c r="E53" s="349" t="s">
        <v>97</v>
      </c>
      <c r="F53" s="350" t="s">
        <v>238</v>
      </c>
    </row>
    <row r="54" spans="1:7" ht="18.75" customHeight="1">
      <c r="A54" s="348" t="s">
        <v>239</v>
      </c>
      <c r="B54" s="349" t="s">
        <v>240</v>
      </c>
      <c r="C54" s="348" t="s">
        <v>135</v>
      </c>
      <c r="D54" s="348"/>
      <c r="E54" s="349" t="s">
        <v>87</v>
      </c>
      <c r="F54" s="350" t="s">
        <v>241</v>
      </c>
    </row>
    <row r="55" spans="1:7" ht="18.75" customHeight="1">
      <c r="A55" s="348" t="s">
        <v>242</v>
      </c>
      <c r="B55" s="349" t="s">
        <v>243</v>
      </c>
      <c r="C55" s="348" t="s">
        <v>130</v>
      </c>
      <c r="D55" s="348"/>
      <c r="E55" s="349" t="s">
        <v>87</v>
      </c>
      <c r="F55" s="350" t="s">
        <v>244</v>
      </c>
    </row>
    <row r="56" spans="1:6" ht="18.75" customHeight="1">
      <c r="A56" s="348" t="s">
        <v>246</v>
      </c>
      <c r="B56" s="349"/>
      <c r="C56" s="348" t="s">
        <v>247</v>
      </c>
      <c r="D56" s="348"/>
      <c r="E56" s="349"/>
      <c r="F56" s="350"/>
    </row>
    <row r="57" spans="1:7" ht="18.75" customHeight="1">
      <c r="A57" s="348" t="s">
        <v>248</v>
      </c>
      <c r="B57" s="349" t="s">
        <v>249</v>
      </c>
      <c r="C57" s="348" t="s">
        <v>210</v>
      </c>
      <c r="D57" s="348"/>
      <c r="E57" s="349" t="s">
        <v>81</v>
      </c>
      <c r="F57" s="350" t="s">
        <v>250</v>
      </c>
    </row>
    <row r="58" spans="1:7" ht="18.75" customHeight="1">
      <c r="A58" s="348" t="s">
        <v>251</v>
      </c>
      <c r="B58" s="349" t="s">
        <v>252</v>
      </c>
      <c r="C58" s="348" t="s">
        <v>92</v>
      </c>
      <c r="D58" s="348"/>
      <c r="E58" s="349" t="s">
        <v>81</v>
      </c>
      <c r="F58" s="350" t="s">
        <v>253</v>
      </c>
    </row>
    <row r="59" spans="1:7" ht="18.75" customHeight="1">
      <c r="A59" s="348" t="s">
        <v>254</v>
      </c>
      <c r="B59" s="349" t="s">
        <v>255</v>
      </c>
      <c r="C59" s="348" t="s">
        <v>166</v>
      </c>
      <c r="D59" s="348"/>
      <c r="E59" s="349" t="s">
        <v>81</v>
      </c>
      <c r="F59" s="350" t="s">
        <v>256</v>
      </c>
    </row>
    <row r="60" spans="1:7" ht="27.75" customHeight="1">
      <c r="A60" s="348" t="s">
        <v>257</v>
      </c>
      <c r="B60" s="349" t="s">
        <v>258</v>
      </c>
      <c r="C60" s="348" t="s">
        <v>96</v>
      </c>
      <c r="D60" s="348"/>
      <c r="E60" s="349" t="s">
        <v>97</v>
      </c>
      <c r="F60" s="350" t="s">
        <v>259</v>
      </c>
    </row>
    <row r="61" spans="1:7" ht="27.75" customHeight="1">
      <c r="A61" s="348" t="s">
        <v>260</v>
      </c>
      <c r="B61" s="349" t="s">
        <v>261</v>
      </c>
      <c r="C61" s="348" t="s">
        <v>102</v>
      </c>
      <c r="D61" s="348"/>
      <c r="E61" s="349" t="s">
        <v>103</v>
      </c>
      <c r="F61" s="350" t="s">
        <v>223</v>
      </c>
    </row>
    <row r="62" spans="1:7" ht="18.75" customHeight="1">
      <c r="A62" s="348" t="s">
        <v>262</v>
      </c>
      <c r="B62" s="349" t="s">
        <v>263</v>
      </c>
      <c r="C62" s="348" t="s">
        <v>226</v>
      </c>
      <c r="D62" s="348"/>
      <c r="E62" s="349" t="s">
        <v>81</v>
      </c>
      <c r="F62" s="350" t="s">
        <v>227</v>
      </c>
    </row>
    <row r="63" spans="1:7" ht="18.75" customHeight="1">
      <c r="A63" s="348" t="s">
        <v>264</v>
      </c>
      <c r="B63" s="349"/>
      <c r="C63" s="348" t="s">
        <v>112</v>
      </c>
      <c r="D63" s="348"/>
      <c r="E63" s="349" t="s">
        <v>113</v>
      </c>
      <c r="F63" s="350" t="s">
        <v>229</v>
      </c>
    </row>
    <row r="64" spans="1:7" ht="18.75" customHeight="1">
      <c r="A64" s="348" t="s">
        <v>265</v>
      </c>
      <c r="B64" s="349" t="s">
        <v>266</v>
      </c>
      <c r="C64" s="348" t="s">
        <v>117</v>
      </c>
      <c r="D64" s="348"/>
      <c r="E64" s="349" t="s">
        <v>81</v>
      </c>
      <c r="F64" s="350" t="s">
        <v>232</v>
      </c>
    </row>
    <row r="65" spans="1:7" ht="18.75" customHeight="1">
      <c r="A65" s="348" t="s">
        <v>267</v>
      </c>
      <c r="B65" s="349" t="s">
        <v>268</v>
      </c>
      <c r="C65" s="348" t="s">
        <v>121</v>
      </c>
      <c r="D65" s="348"/>
      <c r="E65" s="349" t="s">
        <v>87</v>
      </c>
      <c r="F65" s="350" t="s">
        <v>269</v>
      </c>
    </row>
    <row r="66" spans="1:7" ht="27.75" customHeight="1">
      <c r="A66" s="348" t="s">
        <v>270</v>
      </c>
      <c r="B66" s="349" t="s">
        <v>271</v>
      </c>
      <c r="C66" s="348" t="s">
        <v>126</v>
      </c>
      <c r="D66" s="348"/>
      <c r="E66" s="349" t="s">
        <v>97</v>
      </c>
      <c r="F66" s="350" t="s">
        <v>272</v>
      </c>
    </row>
    <row r="67" spans="1:7" ht="18.75" customHeight="1">
      <c r="A67" s="348" t="s">
        <v>273</v>
      </c>
      <c r="B67" s="349" t="s">
        <v>274</v>
      </c>
      <c r="C67" s="348" t="s">
        <v>135</v>
      </c>
      <c r="D67" s="348"/>
      <c r="E67" s="349" t="s">
        <v>87</v>
      </c>
      <c r="F67" s="350" t="s">
        <v>241</v>
      </c>
    </row>
    <row r="68" spans="1:7" ht="18.75" customHeight="1">
      <c r="A68" s="348" t="s">
        <v>275</v>
      </c>
      <c r="B68" s="349" t="s">
        <v>276</v>
      </c>
      <c r="C68" s="348" t="s">
        <v>130</v>
      </c>
      <c r="D68" s="348"/>
      <c r="E68" s="349" t="s">
        <v>87</v>
      </c>
      <c r="F68" s="350" t="s">
        <v>244</v>
      </c>
    </row>
    <row r="69" ht="7.5" customHeight="1">
      <c r="A69" s="344"/>
    </row>
    <row r="70" spans="1:6" ht="26.25" customHeight="1">
      <c r="A70" s="346" t="s">
        <v>2066</v>
      </c>
      <c r="B70" s="346"/>
      <c r="C70" s="346"/>
      <c r="D70" s="346"/>
      <c r="E70" s="346"/>
      <c r="F70" s="346"/>
    </row>
    <row r="71" spans="1:7" ht="18.75" customHeight="1">
      <c r="A71" s="347" t="s">
        <v>28</v>
      </c>
      <c r="B71" s="347" t="s">
        <v>68</v>
      </c>
      <c r="C71" s="347" t="s">
        <v>690</v>
      </c>
      <c r="D71" s="347" t="s">
        <v>2067</v>
      </c>
      <c r="E71" s="347" t="s">
        <v>2068</v>
      </c>
      <c r="F71" s="347" t="s">
        <v>691</v>
      </c>
    </row>
    <row r="72" spans="1:6" ht="18.75" customHeight="1">
      <c r="A72" s="348" t="s">
        <v>37</v>
      </c>
      <c r="B72" s="349"/>
      <c r="C72" s="348" t="s">
        <v>38</v>
      </c>
      <c r="D72" s="348"/>
      <c r="E72" s="349"/>
      <c r="F72" s="350"/>
    </row>
    <row r="73" spans="1:7" ht="18.75" customHeight="1">
      <c r="A73" s="348" t="s">
        <v>277</v>
      </c>
      <c r="B73" s="349" t="s">
        <v>278</v>
      </c>
      <c r="C73" s="348" t="s">
        <v>210</v>
      </c>
      <c r="D73" s="348"/>
      <c r="E73" s="349" t="s">
        <v>81</v>
      </c>
      <c r="F73" s="350" t="s">
        <v>279</v>
      </c>
    </row>
    <row r="74" spans="1:7" ht="18.75" customHeight="1">
      <c r="A74" s="348" t="s">
        <v>280</v>
      </c>
      <c r="B74" s="349" t="s">
        <v>281</v>
      </c>
      <c r="C74" s="348" t="s">
        <v>92</v>
      </c>
      <c r="D74" s="348"/>
      <c r="E74" s="349" t="s">
        <v>81</v>
      </c>
      <c r="F74" s="350" t="s">
        <v>282</v>
      </c>
    </row>
    <row r="75" spans="1:7" ht="27.75" customHeight="1">
      <c r="A75" s="348" t="s">
        <v>283</v>
      </c>
      <c r="B75" s="349" t="s">
        <v>284</v>
      </c>
      <c r="C75" s="348" t="s">
        <v>96</v>
      </c>
      <c r="D75" s="348"/>
      <c r="E75" s="349" t="s">
        <v>97</v>
      </c>
      <c r="F75" s="350" t="s">
        <v>285</v>
      </c>
    </row>
    <row r="76" spans="1:7" ht="18.75" customHeight="1">
      <c r="A76" s="348" t="s">
        <v>286</v>
      </c>
      <c r="B76" s="349" t="s">
        <v>287</v>
      </c>
      <c r="C76" s="348" t="s">
        <v>288</v>
      </c>
      <c r="D76" s="348"/>
      <c r="E76" s="349" t="s">
        <v>87</v>
      </c>
      <c r="F76" s="350" t="s">
        <v>289</v>
      </c>
    </row>
    <row r="77" spans="1:7" ht="18.75" customHeight="1">
      <c r="A77" s="348" t="s">
        <v>290</v>
      </c>
      <c r="B77" s="349" t="s">
        <v>291</v>
      </c>
      <c r="C77" s="348" t="s">
        <v>292</v>
      </c>
      <c r="D77" s="348"/>
      <c r="E77" s="349" t="s">
        <v>81</v>
      </c>
      <c r="F77" s="350" t="s">
        <v>293</v>
      </c>
    </row>
    <row r="78" spans="1:7" ht="18.75" customHeight="1">
      <c r="A78" s="348" t="s">
        <v>294</v>
      </c>
      <c r="B78" s="349" t="s">
        <v>295</v>
      </c>
      <c r="C78" s="348" t="s">
        <v>296</v>
      </c>
      <c r="D78" s="348"/>
      <c r="E78" s="349" t="s">
        <v>81</v>
      </c>
      <c r="F78" s="350" t="s">
        <v>297</v>
      </c>
    </row>
    <row r="79" spans="1:7" ht="18.75" customHeight="1">
      <c r="A79" s="348" t="s">
        <v>298</v>
      </c>
      <c r="B79" s="349" t="s">
        <v>299</v>
      </c>
      <c r="C79" s="348" t="s">
        <v>300</v>
      </c>
      <c r="D79" s="348"/>
      <c r="E79" s="349" t="s">
        <v>113</v>
      </c>
      <c r="F79" s="350" t="s">
        <v>301</v>
      </c>
    </row>
    <row r="80" spans="1:7" ht="18.75" customHeight="1">
      <c r="A80" s="348" t="s">
        <v>303</v>
      </c>
      <c r="B80" s="349" t="s">
        <v>304</v>
      </c>
      <c r="C80" s="348" t="s">
        <v>305</v>
      </c>
      <c r="D80" s="348"/>
      <c r="E80" s="349" t="s">
        <v>113</v>
      </c>
      <c r="F80" s="350" t="s">
        <v>306</v>
      </c>
    </row>
    <row r="81" spans="1:7" ht="18.75" customHeight="1">
      <c r="A81" s="348" t="s">
        <v>307</v>
      </c>
      <c r="B81" s="349" t="s">
        <v>308</v>
      </c>
      <c r="C81" s="348" t="s">
        <v>309</v>
      </c>
      <c r="D81" s="348"/>
      <c r="E81" s="349" t="s">
        <v>113</v>
      </c>
      <c r="F81" s="350" t="s">
        <v>58</v>
      </c>
    </row>
    <row r="82" spans="1:7" ht="18.75" customHeight="1">
      <c r="A82" s="348" t="s">
        <v>310</v>
      </c>
      <c r="B82" s="349" t="s">
        <v>311</v>
      </c>
      <c r="C82" s="348" t="s">
        <v>312</v>
      </c>
      <c r="D82" s="348"/>
      <c r="E82" s="349" t="s">
        <v>113</v>
      </c>
      <c r="F82" s="350" t="s">
        <v>313</v>
      </c>
    </row>
    <row r="83" spans="1:7" ht="18.75" customHeight="1">
      <c r="A83" s="348" t="s">
        <v>315</v>
      </c>
      <c r="B83" s="349" t="s">
        <v>316</v>
      </c>
      <c r="C83" s="348" t="s">
        <v>317</v>
      </c>
      <c r="D83" s="348"/>
      <c r="E83" s="349" t="s">
        <v>81</v>
      </c>
      <c r="F83" s="350" t="s">
        <v>318</v>
      </c>
    </row>
    <row r="84" spans="1:7" ht="18.75" customHeight="1">
      <c r="A84" s="348" t="s">
        <v>319</v>
      </c>
      <c r="B84" s="349" t="s">
        <v>320</v>
      </c>
      <c r="C84" s="348" t="s">
        <v>321</v>
      </c>
      <c r="D84" s="348"/>
      <c r="E84" s="349" t="s">
        <v>81</v>
      </c>
      <c r="F84" s="350" t="s">
        <v>322</v>
      </c>
    </row>
    <row r="85" spans="1:7" ht="18.75" customHeight="1">
      <c r="A85" s="348" t="s">
        <v>323</v>
      </c>
      <c r="B85" s="349" t="s">
        <v>324</v>
      </c>
      <c r="C85" s="348" t="s">
        <v>130</v>
      </c>
      <c r="D85" s="348"/>
      <c r="E85" s="349" t="s">
        <v>87</v>
      </c>
      <c r="F85" s="350" t="s">
        <v>325</v>
      </c>
    </row>
    <row r="86" spans="1:6" ht="18.75" customHeight="1">
      <c r="A86" s="348" t="s">
        <v>40</v>
      </c>
      <c r="B86" s="349"/>
      <c r="C86" s="348" t="s">
        <v>41</v>
      </c>
      <c r="D86" s="348"/>
      <c r="E86" s="349"/>
      <c r="F86" s="350"/>
    </row>
    <row r="87" spans="1:7" ht="18.75" customHeight="1">
      <c r="A87" s="348" t="s">
        <v>326</v>
      </c>
      <c r="B87" s="349" t="s">
        <v>327</v>
      </c>
      <c r="C87" s="348" t="s">
        <v>328</v>
      </c>
      <c r="D87" s="348"/>
      <c r="E87" s="349" t="s">
        <v>81</v>
      </c>
      <c r="F87" s="350" t="s">
        <v>329</v>
      </c>
    </row>
    <row r="88" spans="1:7" ht="18.75" customHeight="1">
      <c r="A88" s="348" t="s">
        <v>331</v>
      </c>
      <c r="B88" s="349" t="s">
        <v>332</v>
      </c>
      <c r="C88" s="348" t="s">
        <v>333</v>
      </c>
      <c r="D88" s="348"/>
      <c r="E88" s="349" t="s">
        <v>81</v>
      </c>
      <c r="F88" s="350" t="s">
        <v>329</v>
      </c>
    </row>
    <row r="89" spans="1:7" ht="18.75" customHeight="1">
      <c r="A89" s="348" t="s">
        <v>43</v>
      </c>
      <c r="B89" s="349"/>
      <c r="C89" s="348" t="s">
        <v>44</v>
      </c>
      <c r="D89" s="348"/>
      <c r="E89" s="349" t="s">
        <v>334</v>
      </c>
      <c r="F89" s="350" t="s">
        <v>31</v>
      </c>
    </row>
    <row r="90" spans="1:6" ht="18.75" customHeight="1">
      <c r="A90" s="348" t="s">
        <v>46</v>
      </c>
      <c r="B90" s="349"/>
      <c r="C90" s="348" t="s">
        <v>47</v>
      </c>
      <c r="D90" s="348"/>
      <c r="E90" s="349"/>
      <c r="F90" s="350"/>
    </row>
    <row r="91" spans="1:7" ht="18.75" customHeight="1">
      <c r="A91" s="348" t="s">
        <v>341</v>
      </c>
      <c r="B91" s="349" t="s">
        <v>342</v>
      </c>
      <c r="C91" s="348" t="s">
        <v>343</v>
      </c>
      <c r="D91" s="348"/>
      <c r="E91" s="349" t="s">
        <v>81</v>
      </c>
      <c r="F91" s="350" t="s">
        <v>344</v>
      </c>
    </row>
    <row r="92" spans="1:7" ht="18.75" customHeight="1">
      <c r="A92" s="348" t="s">
        <v>89</v>
      </c>
      <c r="B92" s="349" t="s">
        <v>345</v>
      </c>
      <c r="C92" s="348" t="s">
        <v>346</v>
      </c>
      <c r="D92" s="348"/>
      <c r="E92" s="349" t="s">
        <v>81</v>
      </c>
      <c r="F92" s="350" t="s">
        <v>344</v>
      </c>
    </row>
    <row r="93" spans="1:7" ht="18.75" customHeight="1">
      <c r="A93" s="348" t="s">
        <v>49</v>
      </c>
      <c r="B93" s="349"/>
      <c r="C93" s="348" t="s">
        <v>50</v>
      </c>
      <c r="D93" s="348"/>
      <c r="E93" s="349" t="s">
        <v>347</v>
      </c>
      <c r="F93" s="350" t="s">
        <v>303</v>
      </c>
    </row>
    <row r="94" spans="1:7" ht="18.75" customHeight="1">
      <c r="A94" s="348" t="s">
        <v>52</v>
      </c>
      <c r="B94" s="349"/>
      <c r="C94" s="348" t="s">
        <v>53</v>
      </c>
      <c r="D94" s="348"/>
      <c r="E94" s="349" t="s">
        <v>334</v>
      </c>
      <c r="F94" s="350" t="s">
        <v>348</v>
      </c>
    </row>
    <row r="95" spans="1:7" ht="18.75" customHeight="1">
      <c r="A95" s="348" t="s">
        <v>55</v>
      </c>
      <c r="B95" s="349"/>
      <c r="C95" s="348" t="s">
        <v>56</v>
      </c>
      <c r="D95" s="348"/>
      <c r="E95" s="349" t="s">
        <v>334</v>
      </c>
      <c r="F95" s="350" t="s">
        <v>31</v>
      </c>
    </row>
    <row r="96" spans="1:6" ht="18.75" customHeight="1">
      <c r="A96" s="348"/>
      <c r="B96" s="349"/>
      <c r="C96" s="348"/>
      <c r="D96" s="348"/>
      <c r="E96" s="349"/>
      <c r="F96" s="350"/>
    </row>
    <row r="97" spans="1:6" ht="18.75" customHeight="1">
      <c r="A97" s="348"/>
      <c r="B97" s="349"/>
      <c r="C97" s="348"/>
      <c r="D97" s="348"/>
      <c r="E97" s="349"/>
      <c r="F97" s="350"/>
    </row>
    <row r="98" spans="1:6" ht="18.75" customHeight="1">
      <c r="A98" s="348"/>
      <c r="B98" s="349"/>
      <c r="C98" s="348"/>
      <c r="D98" s="348"/>
      <c r="E98" s="349"/>
      <c r="F98" s="350"/>
    </row>
    <row r="99" spans="1:6" ht="18.75" customHeight="1">
      <c r="A99" s="348"/>
      <c r="B99" s="349"/>
      <c r="C99" s="348"/>
      <c r="D99" s="348"/>
      <c r="E99" s="349"/>
      <c r="F99" s="350"/>
    </row>
    <row r="100" spans="1:6" ht="18.75" customHeight="1">
      <c r="A100" s="348"/>
      <c r="B100" s="349"/>
      <c r="C100" s="348"/>
      <c r="D100" s="348"/>
      <c r="E100" s="349"/>
      <c r="F100" s="350"/>
    </row>
    <row r="101" spans="1:6" ht="18.75" customHeight="1">
      <c r="A101" s="348"/>
      <c r="B101" s="349"/>
      <c r="C101" s="348"/>
      <c r="D101" s="348"/>
      <c r="E101" s="349"/>
      <c r="F101" s="350"/>
    </row>
    <row r="102" spans="1:6" ht="18.75" customHeight="1">
      <c r="A102" s="348"/>
      <c r="B102" s="349"/>
      <c r="C102" s="348"/>
      <c r="D102" s="348"/>
      <c r="E102" s="349"/>
      <c r="F102" s="350"/>
    </row>
    <row r="103" spans="1:6" ht="18.75" customHeight="1">
      <c r="A103" s="348"/>
      <c r="B103" s="349"/>
      <c r="C103" s="348"/>
      <c r="D103" s="348"/>
      <c r="E103" s="349"/>
      <c r="F103" s="350"/>
    </row>
    <row r="104" spans="1:6" ht="18.75" customHeight="1">
      <c r="A104" s="348"/>
      <c r="B104" s="349"/>
      <c r="C104" s="348"/>
      <c r="D104" s="348"/>
      <c r="E104" s="349"/>
      <c r="F104" s="350"/>
    </row>
    <row r="105" spans="1:6" ht="18.75" customHeight="1">
      <c r="A105" s="348"/>
      <c r="B105" s="349"/>
      <c r="C105" s="348"/>
      <c r="D105" s="348"/>
      <c r="E105" s="349"/>
      <c r="F105" s="350"/>
    </row>
  </sheetData>
  <mergeCells count="99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36:F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0:F70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</mergeCells>
  <printOptions/>
  <pageMargins left="0.9055099999999999" right="0" top="0.70866" bottom="0" header="0.55118" footer="0.3937"/>
  <pageSetup firstPageNumber="74" useFirstPageNumber="1" horizontalDpi="300" verticalDpi="300" orientation="portrait" pageOrder="overThenDown" paperSize="9"/>
  <headerFooter alignWithMargins="0">
    <oddFooter>&amp;L&amp;C&amp;P&amp;R</oddFooter>
  </headerFooter>
  <rowBreaks count="2" manualBreakCount="2">
    <brk id="34" max="255" man="1"/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F35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41.421875" style="0" customWidth="1"/>
    <col min="2" max="2" width="8.57421875" style="0" customWidth="1"/>
    <col min="3" max="5" width="12.8515625" style="0" customWidth="1"/>
    <col min="6" max="6" width="11.00390625" style="0" customWidth="1"/>
  </cols>
  <sheetData>
    <row r="1" ht="7.5" customHeight="1"/>
    <row r="2" spans="1:5" ht="26.25" customHeight="1">
      <c r="A2" s="372" t="s">
        <v>2069</v>
      </c>
      <c r="B2" s="372"/>
      <c r="C2" s="372"/>
      <c r="D2" s="372"/>
      <c r="E2" s="372"/>
    </row>
    <row r="3" spans="1:5" ht="18.75" customHeight="1">
      <c r="A3" s="373" t="s">
        <v>2070</v>
      </c>
      <c r="B3" s="373"/>
      <c r="C3" s="373"/>
      <c r="D3" s="373"/>
      <c r="E3" s="373"/>
    </row>
    <row r="4" spans="1:6" ht="18.75" customHeight="1">
      <c r="A4" s="374" t="s">
        <v>690</v>
      </c>
      <c r="B4" s="374" t="s">
        <v>2068</v>
      </c>
      <c r="C4" s="374" t="s">
        <v>2071</v>
      </c>
      <c r="D4" s="374" t="s">
        <v>692</v>
      </c>
      <c r="E4" s="374" t="s">
        <v>2072</v>
      </c>
    </row>
    <row r="5" spans="1:6" ht="18.75" customHeight="1">
      <c r="A5" s="375" t="s">
        <v>2073</v>
      </c>
      <c r="B5" s="376" t="s">
        <v>2074</v>
      </c>
      <c r="C5" s="377" t="s">
        <v>2075</v>
      </c>
      <c r="D5" s="377" t="s">
        <v>2076</v>
      </c>
      <c r="E5" s="377" t="s">
        <v>2077</v>
      </c>
    </row>
    <row r="6" spans="1:6" ht="18.75" customHeight="1">
      <c r="A6" s="375" t="s">
        <v>1027</v>
      </c>
      <c r="B6" s="376" t="s">
        <v>81</v>
      </c>
      <c r="C6" s="377" t="s">
        <v>2078</v>
      </c>
      <c r="D6" s="377" t="s">
        <v>434</v>
      </c>
      <c r="E6" s="377" t="s">
        <v>2079</v>
      </c>
    </row>
    <row r="7" spans="1:6" ht="18.75" customHeight="1">
      <c r="A7" s="375" t="s">
        <v>2080</v>
      </c>
      <c r="B7" s="376" t="s">
        <v>81</v>
      </c>
      <c r="C7" s="377" t="s">
        <v>2081</v>
      </c>
      <c r="D7" s="377" t="s">
        <v>2082</v>
      </c>
      <c r="E7" s="377" t="s">
        <v>2083</v>
      </c>
    </row>
    <row r="8" spans="1:6" ht="18.75" customHeight="1">
      <c r="A8" s="375" t="s">
        <v>653</v>
      </c>
      <c r="B8" s="376" t="s">
        <v>149</v>
      </c>
      <c r="C8" s="377" t="s">
        <v>1922</v>
      </c>
      <c r="D8" s="377" t="s">
        <v>654</v>
      </c>
      <c r="E8" s="377" t="s">
        <v>2084</v>
      </c>
    </row>
    <row r="9" spans="1:6" ht="18.75" customHeight="1">
      <c r="A9" s="375" t="s">
        <v>655</v>
      </c>
      <c r="B9" s="376" t="s">
        <v>656</v>
      </c>
      <c r="C9" s="377" t="s">
        <v>2085</v>
      </c>
      <c r="D9" s="377" t="s">
        <v>657</v>
      </c>
      <c r="E9" s="377" t="s">
        <v>2086</v>
      </c>
    </row>
    <row r="10" spans="1:6" ht="18.75" customHeight="1">
      <c r="A10" s="375" t="s">
        <v>2087</v>
      </c>
      <c r="B10" s="376" t="s">
        <v>149</v>
      </c>
      <c r="C10" s="377" t="s">
        <v>2088</v>
      </c>
      <c r="D10" s="377" t="s">
        <v>660</v>
      </c>
      <c r="E10" s="377" t="s">
        <v>2089</v>
      </c>
    </row>
    <row r="11" spans="1:6" ht="18.75" customHeight="1">
      <c r="A11" s="375" t="s">
        <v>661</v>
      </c>
      <c r="B11" s="376" t="s">
        <v>81</v>
      </c>
      <c r="C11" s="377" t="s">
        <v>2090</v>
      </c>
      <c r="D11" s="377" t="s">
        <v>662</v>
      </c>
      <c r="E11" s="377" t="s">
        <v>2091</v>
      </c>
    </row>
    <row r="12" spans="1:6" ht="18.75" customHeight="1">
      <c r="A12" s="375" t="s">
        <v>2092</v>
      </c>
      <c r="B12" s="376" t="s">
        <v>656</v>
      </c>
      <c r="C12" s="377" t="s">
        <v>2093</v>
      </c>
      <c r="D12" s="377" t="s">
        <v>665</v>
      </c>
      <c r="E12" s="377" t="s">
        <v>2094</v>
      </c>
    </row>
    <row r="13" spans="1:6" ht="18.75" customHeight="1">
      <c r="A13" s="375" t="s">
        <v>2095</v>
      </c>
      <c r="B13" s="376" t="s">
        <v>656</v>
      </c>
      <c r="C13" s="377" t="s">
        <v>2096</v>
      </c>
      <c r="D13" s="377" t="s">
        <v>668</v>
      </c>
      <c r="E13" s="377" t="s">
        <v>2097</v>
      </c>
    </row>
    <row r="14" spans="1:6" ht="18.75" customHeight="1">
      <c r="A14" s="375" t="s">
        <v>669</v>
      </c>
      <c r="B14" s="376" t="s">
        <v>81</v>
      </c>
      <c r="C14" s="377" t="s">
        <v>2098</v>
      </c>
      <c r="D14" s="377" t="s">
        <v>670</v>
      </c>
      <c r="E14" s="377" t="s">
        <v>2099</v>
      </c>
    </row>
    <row r="15" spans="1:6" ht="18.75" customHeight="1">
      <c r="A15" s="375" t="s">
        <v>671</v>
      </c>
      <c r="B15" s="376" t="s">
        <v>656</v>
      </c>
      <c r="C15" s="377" t="s">
        <v>2100</v>
      </c>
      <c r="D15" s="377" t="s">
        <v>672</v>
      </c>
      <c r="E15" s="377" t="s">
        <v>2101</v>
      </c>
    </row>
    <row r="16" spans="1:6" ht="18.75" customHeight="1">
      <c r="A16" s="375" t="s">
        <v>673</v>
      </c>
      <c r="B16" s="376" t="s">
        <v>656</v>
      </c>
      <c r="C16" s="377" t="s">
        <v>2102</v>
      </c>
      <c r="D16" s="377" t="s">
        <v>674</v>
      </c>
      <c r="E16" s="377" t="s">
        <v>2103</v>
      </c>
    </row>
    <row r="17" spans="1:6" ht="18.75" customHeight="1">
      <c r="A17" s="375" t="s">
        <v>675</v>
      </c>
      <c r="B17" s="376" t="s">
        <v>81</v>
      </c>
      <c r="C17" s="377" t="s">
        <v>2028</v>
      </c>
      <c r="D17" s="377" t="s">
        <v>676</v>
      </c>
      <c r="E17" s="377" t="s">
        <v>2104</v>
      </c>
    </row>
    <row r="18" spans="1:6" ht="18.75" customHeight="1">
      <c r="A18" s="375" t="s">
        <v>677</v>
      </c>
      <c r="B18" s="376" t="s">
        <v>81</v>
      </c>
      <c r="C18" s="377" t="s">
        <v>2105</v>
      </c>
      <c r="D18" s="377" t="s">
        <v>678</v>
      </c>
      <c r="E18" s="377" t="s">
        <v>2106</v>
      </c>
    </row>
    <row r="19" spans="1:6" ht="18.75" customHeight="1">
      <c r="A19" s="375" t="s">
        <v>679</v>
      </c>
      <c r="B19" s="376" t="s">
        <v>81</v>
      </c>
      <c r="C19" s="377" t="s">
        <v>2107</v>
      </c>
      <c r="D19" s="377" t="s">
        <v>680</v>
      </c>
      <c r="E19" s="377" t="s">
        <v>2108</v>
      </c>
    </row>
    <row r="20" spans="1:6" ht="18.75" customHeight="1">
      <c r="A20" s="375" t="s">
        <v>682</v>
      </c>
      <c r="B20" s="376" t="s">
        <v>81</v>
      </c>
      <c r="C20" s="377" t="s">
        <v>2109</v>
      </c>
      <c r="D20" s="377" t="s">
        <v>683</v>
      </c>
      <c r="E20" s="377" t="s">
        <v>2110</v>
      </c>
    </row>
    <row r="21" spans="1:6" ht="27.75" customHeight="1">
      <c r="A21" s="375" t="s">
        <v>2111</v>
      </c>
      <c r="B21" s="376" t="s">
        <v>81</v>
      </c>
      <c r="C21" s="377" t="s">
        <v>2112</v>
      </c>
      <c r="D21" s="377" t="s">
        <v>2113</v>
      </c>
      <c r="E21" s="377" t="s">
        <v>2114</v>
      </c>
    </row>
    <row r="22" spans="1:6" ht="27.75" customHeight="1">
      <c r="A22" s="375" t="s">
        <v>2115</v>
      </c>
      <c r="B22" s="376" t="s">
        <v>81</v>
      </c>
      <c r="C22" s="377" t="s">
        <v>2116</v>
      </c>
      <c r="D22" s="377" t="s">
        <v>2117</v>
      </c>
      <c r="E22" s="377" t="s">
        <v>2118</v>
      </c>
    </row>
    <row r="23" spans="1:6" ht="27.75" customHeight="1">
      <c r="A23" s="375" t="s">
        <v>2119</v>
      </c>
      <c r="B23" s="376" t="s">
        <v>81</v>
      </c>
      <c r="C23" s="377" t="s">
        <v>2120</v>
      </c>
      <c r="D23" s="377" t="s">
        <v>2121</v>
      </c>
      <c r="E23" s="377" t="s">
        <v>2122</v>
      </c>
    </row>
    <row r="24" spans="1:6" ht="27.75" customHeight="1">
      <c r="A24" s="375" t="s">
        <v>2123</v>
      </c>
      <c r="B24" s="376" t="s">
        <v>81</v>
      </c>
      <c r="C24" s="377" t="s">
        <v>2124</v>
      </c>
      <c r="D24" s="377" t="s">
        <v>2125</v>
      </c>
      <c r="E24" s="377" t="s">
        <v>2126</v>
      </c>
    </row>
    <row r="25" spans="1:6" ht="18.75" customHeight="1">
      <c r="A25" s="376" t="s">
        <v>2127</v>
      </c>
      <c r="B25" s="376"/>
      <c r="C25" s="377"/>
      <c r="D25" s="377"/>
      <c r="E25" s="377" t="s">
        <v>2128</v>
      </c>
    </row>
    <row r="26" spans="1:5" ht="18.75" customHeight="1">
      <c r="A26" s="375"/>
      <c r="B26" s="376"/>
      <c r="C26" s="377"/>
      <c r="D26" s="377"/>
      <c r="E26" s="377"/>
    </row>
    <row r="27" spans="1:5" ht="18.75" customHeight="1">
      <c r="A27" s="375"/>
      <c r="B27" s="376"/>
      <c r="C27" s="377"/>
      <c r="D27" s="377"/>
      <c r="E27" s="377"/>
    </row>
    <row r="28" spans="1:5" ht="18.75" customHeight="1">
      <c r="A28" s="375"/>
      <c r="B28" s="376"/>
      <c r="C28" s="377"/>
      <c r="D28" s="377"/>
      <c r="E28" s="377"/>
    </row>
    <row r="29" spans="1:5" ht="18.75" customHeight="1">
      <c r="A29" s="375"/>
      <c r="B29" s="376"/>
      <c r="C29" s="377"/>
      <c r="D29" s="377"/>
      <c r="E29" s="377"/>
    </row>
    <row r="30" spans="1:5" ht="18.75" customHeight="1">
      <c r="A30" s="375"/>
      <c r="B30" s="376"/>
      <c r="C30" s="377"/>
      <c r="D30" s="377"/>
      <c r="E30" s="377"/>
    </row>
    <row r="31" spans="1:5" ht="18.75" customHeight="1">
      <c r="A31" s="375"/>
      <c r="B31" s="376"/>
      <c r="C31" s="377"/>
      <c r="D31" s="377"/>
      <c r="E31" s="377"/>
    </row>
    <row r="32" spans="1:5" ht="18.75" customHeight="1">
      <c r="A32" s="375"/>
      <c r="B32" s="376"/>
      <c r="C32" s="377"/>
      <c r="D32" s="377"/>
      <c r="E32" s="377"/>
    </row>
    <row r="33" spans="1:5" ht="18.75" customHeight="1">
      <c r="A33" s="375"/>
      <c r="B33" s="376"/>
      <c r="C33" s="377"/>
      <c r="D33" s="377"/>
      <c r="E33" s="377"/>
    </row>
    <row r="34" spans="1:5" ht="18.75" customHeight="1">
      <c r="A34" s="375"/>
      <c r="B34" s="376"/>
      <c r="C34" s="377"/>
      <c r="D34" s="377"/>
      <c r="E34" s="377"/>
    </row>
    <row r="35" spans="1:5" ht="18.75" customHeight="1">
      <c r="A35" s="375"/>
      <c r="B35" s="376"/>
      <c r="C35" s="377"/>
      <c r="D35" s="377"/>
      <c r="E35" s="377"/>
    </row>
  </sheetData>
  <mergeCells count="2">
    <mergeCell ref="A2:E2"/>
    <mergeCell ref="A3:E3"/>
  </mergeCells>
  <printOptions/>
  <pageMargins left="0.9055099999999999" right="0" top="0.70866" bottom="0" header="0.55118" footer="0.3937"/>
  <pageSetup firstPageNumber="77" useFirstPageNumber="1" horizontalDpi="300" verticalDpi="300" orientation="portrait" pageOrder="overThenDown" paperSize="9"/>
  <headerFooter alignWithMargins="0">
    <oddFooter>&amp;L&amp;C&amp;P&amp;R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37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1.57421875" style="0" customWidth="1"/>
    <col min="2" max="2" width="21.421875" style="0" customWidth="1"/>
    <col min="3" max="3" width="9.00390625" style="0" customWidth="1"/>
    <col min="4" max="4" width="25.7109375" style="0" customWidth="1"/>
    <col min="5" max="5" width="17.140625" style="0" customWidth="1"/>
    <col min="6" max="6" width="11.00390625" style="0" customWidth="1"/>
  </cols>
  <sheetData>
    <row r="1" spans="1:5" ht="7.5" customHeight="1">
      <c r="A1" s="24"/>
      <c r="B1" s="24"/>
      <c r="C1" s="24"/>
      <c r="D1" s="24"/>
      <c r="E1" s="24"/>
    </row>
    <row r="2" spans="1:5" ht="26.25" customHeight="1">
      <c r="A2" s="25" t="s">
        <v>23</v>
      </c>
      <c r="B2" s="25"/>
      <c r="C2" s="25"/>
      <c r="D2" s="25"/>
      <c r="E2" s="25"/>
    </row>
    <row r="3" spans="1:5" ht="18.75" customHeight="1">
      <c r="A3" s="26" t="s">
        <v>24</v>
      </c>
      <c r="B3" s="24"/>
      <c r="C3" s="24"/>
      <c r="D3" s="24"/>
      <c r="E3" s="24"/>
    </row>
    <row r="4" spans="1:6" ht="18.75" customHeight="1">
      <c r="A4" s="26" t="s">
        <v>25</v>
      </c>
      <c r="B4" s="27" t="s">
        <v>26</v>
      </c>
      <c r="C4" s="27"/>
      <c r="D4" s="27"/>
      <c r="E4" s="28" t="s">
        <v>27</v>
      </c>
    </row>
    <row r="5" spans="1:6" ht="18.75" customHeight="1">
      <c r="A5" s="29" t="s">
        <v>28</v>
      </c>
      <c r="B5" s="29" t="s">
        <v>29</v>
      </c>
      <c r="C5" s="29"/>
      <c r="D5" s="29"/>
      <c r="E5" s="29" t="s">
        <v>30</v>
      </c>
    </row>
    <row r="6" spans="1:6" ht="18.75" customHeight="1">
      <c r="A6" s="29" t="s">
        <v>31</v>
      </c>
      <c r="B6" s="30" t="s">
        <v>32</v>
      </c>
      <c r="C6" s="30"/>
      <c r="D6" s="30"/>
      <c r="E6" s="378">
        <v>8841009.68</v>
      </c>
    </row>
    <row r="7" spans="1:6" ht="18.75" customHeight="1">
      <c r="A7" s="29" t="s">
        <v>34</v>
      </c>
      <c r="B7" s="30" t="s">
        <v>35</v>
      </c>
      <c r="C7" s="30"/>
      <c r="D7" s="30"/>
      <c r="E7" s="378">
        <v>366058.9</v>
      </c>
    </row>
    <row r="8" spans="1:6" ht="18.75" customHeight="1">
      <c r="A8" s="29" t="s">
        <v>37</v>
      </c>
      <c r="B8" s="30" t="s">
        <v>38</v>
      </c>
      <c r="C8" s="30"/>
      <c r="D8" s="30"/>
      <c r="E8" s="378">
        <v>279535.49</v>
      </c>
    </row>
    <row r="9" spans="1:6" ht="18.75" customHeight="1">
      <c r="A9" s="29" t="s">
        <v>40</v>
      </c>
      <c r="B9" s="30" t="s">
        <v>41</v>
      </c>
      <c r="C9" s="30"/>
      <c r="D9" s="30"/>
      <c r="E9" s="378">
        <v>329040.27</v>
      </c>
    </row>
    <row r="10" spans="1:6" ht="18.75" customHeight="1">
      <c r="A10" s="29" t="s">
        <v>43</v>
      </c>
      <c r="B10" s="30" t="s">
        <v>44</v>
      </c>
      <c r="C10" s="30"/>
      <c r="D10" s="30"/>
      <c r="E10" s="378">
        <v>98156.44</v>
      </c>
    </row>
    <row r="11" spans="1:6" ht="18.75" customHeight="1">
      <c r="A11" s="29" t="s">
        <v>46</v>
      </c>
      <c r="B11" s="30" t="s">
        <v>47</v>
      </c>
      <c r="C11" s="30"/>
      <c r="D11" s="30"/>
      <c r="E11" s="378">
        <v>166512.87</v>
      </c>
    </row>
    <row r="12" spans="1:6" ht="18.75" customHeight="1">
      <c r="A12" s="29" t="s">
        <v>49</v>
      </c>
      <c r="B12" s="30" t="s">
        <v>50</v>
      </c>
      <c r="C12" s="30"/>
      <c r="D12" s="30"/>
      <c r="E12" s="378">
        <v>190000</v>
      </c>
    </row>
    <row r="13" spans="1:6" ht="18.75" customHeight="1">
      <c r="A13" s="29" t="s">
        <v>52</v>
      </c>
      <c r="B13" s="30" t="s">
        <v>53</v>
      </c>
      <c r="C13" s="30"/>
      <c r="D13" s="30"/>
      <c r="E13" s="378">
        <v>154054.7</v>
      </c>
    </row>
    <row r="14" spans="1:6" ht="18.75" customHeight="1">
      <c r="A14" s="29" t="s">
        <v>55</v>
      </c>
      <c r="B14" s="30" t="s">
        <v>56</v>
      </c>
      <c r="C14" s="30"/>
      <c r="D14" s="30"/>
      <c r="E14" s="378">
        <v>104243.68</v>
      </c>
    </row>
    <row r="15" spans="1:6" ht="18.75" customHeight="1">
      <c r="A15" s="29" t="s">
        <v>58</v>
      </c>
      <c r="B15" s="30" t="s">
        <v>59</v>
      </c>
      <c r="C15" s="30"/>
      <c r="D15" s="30"/>
      <c r="E15" s="378">
        <f>31585.84+0+0</f>
        <v>0</v>
      </c>
    </row>
    <row r="16" spans="1:6" ht="18.75" customHeight="1">
      <c r="A16" s="29" t="s">
        <v>61</v>
      </c>
      <c r="B16" s="30" t="s">
        <v>62</v>
      </c>
      <c r="C16" s="30"/>
      <c r="D16" s="30"/>
      <c r="E16" s="378">
        <f>0+0+0</f>
        <v>0</v>
      </c>
    </row>
    <row r="17" spans="1:6" ht="18.75" customHeight="1">
      <c r="A17" s="29"/>
      <c r="B17" s="30" t="s">
        <v>64</v>
      </c>
      <c r="C17" s="30"/>
      <c r="D17" s="30"/>
      <c r="E17" s="378">
        <f>ROUND(SUM(E6:E16),2)</f>
        <v>0</v>
      </c>
    </row>
    <row r="18" spans="1:5" ht="18.75" customHeight="1">
      <c r="A18" s="29"/>
      <c r="B18" s="30"/>
      <c r="C18" s="30"/>
      <c r="D18" s="30"/>
      <c r="E18" s="31"/>
    </row>
    <row r="19" spans="1:5" ht="18.75" customHeight="1">
      <c r="A19" s="29"/>
      <c r="B19" s="30"/>
      <c r="C19" s="30"/>
      <c r="D19" s="30"/>
      <c r="E19" s="31"/>
    </row>
    <row r="20" spans="1:5" ht="18.75" customHeight="1">
      <c r="A20" s="29"/>
      <c r="B20" s="30"/>
      <c r="C20" s="30"/>
      <c r="D20" s="30"/>
      <c r="E20" s="31"/>
    </row>
    <row r="21" spans="1:5" ht="18.75" customHeight="1">
      <c r="A21" s="29"/>
      <c r="B21" s="30"/>
      <c r="C21" s="30"/>
      <c r="D21" s="30"/>
      <c r="E21" s="31"/>
    </row>
    <row r="22" spans="1:5" ht="18.75" customHeight="1">
      <c r="A22" s="29"/>
      <c r="B22" s="30"/>
      <c r="C22" s="30"/>
      <c r="D22" s="30"/>
      <c r="E22" s="31"/>
    </row>
    <row r="23" spans="1:5" ht="18.75" customHeight="1">
      <c r="A23" s="29"/>
      <c r="B23" s="30"/>
      <c r="C23" s="30"/>
      <c r="D23" s="30"/>
      <c r="E23" s="31"/>
    </row>
    <row r="24" spans="1:5" ht="18.75" customHeight="1">
      <c r="A24" s="29"/>
      <c r="B24" s="30"/>
      <c r="C24" s="30"/>
      <c r="D24" s="30"/>
      <c r="E24" s="31"/>
    </row>
    <row r="25" spans="1:5" ht="18.75" customHeight="1">
      <c r="A25" s="29"/>
      <c r="B25" s="30"/>
      <c r="C25" s="30"/>
      <c r="D25" s="30"/>
      <c r="E25" s="31"/>
    </row>
    <row r="26" spans="1:5" ht="18.75" customHeight="1">
      <c r="A26" s="29"/>
      <c r="B26" s="30"/>
      <c r="C26" s="30"/>
      <c r="D26" s="30"/>
      <c r="E26" s="31"/>
    </row>
    <row r="27" spans="1:5" ht="18.75" customHeight="1">
      <c r="A27" s="29"/>
      <c r="B27" s="30"/>
      <c r="C27" s="30"/>
      <c r="D27" s="30"/>
      <c r="E27" s="31"/>
    </row>
    <row r="28" spans="1:5" ht="18.75" customHeight="1">
      <c r="A28" s="29"/>
      <c r="B28" s="30"/>
      <c r="C28" s="30"/>
      <c r="D28" s="30"/>
      <c r="E28" s="31"/>
    </row>
    <row r="29" spans="1:5" ht="18.75" customHeight="1">
      <c r="A29" s="29"/>
      <c r="B29" s="30"/>
      <c r="C29" s="30"/>
      <c r="D29" s="30"/>
      <c r="E29" s="31"/>
    </row>
    <row r="30" spans="1:5" ht="18.75" customHeight="1">
      <c r="A30" s="29"/>
      <c r="B30" s="30"/>
      <c r="C30" s="30"/>
      <c r="D30" s="30"/>
      <c r="E30" s="31"/>
    </row>
    <row r="31" spans="1:5" ht="18.75" customHeight="1">
      <c r="A31" s="29"/>
      <c r="B31" s="30"/>
      <c r="C31" s="30"/>
      <c r="D31" s="30"/>
      <c r="E31" s="31"/>
    </row>
    <row r="32" spans="1:5" ht="18.75" customHeight="1">
      <c r="A32" s="29"/>
      <c r="B32" s="30"/>
      <c r="C32" s="30"/>
      <c r="D32" s="30"/>
      <c r="E32" s="31"/>
    </row>
    <row r="33" spans="1:5" ht="18.75" customHeight="1">
      <c r="A33" s="29"/>
      <c r="B33" s="30"/>
      <c r="C33" s="30"/>
      <c r="D33" s="30"/>
      <c r="E33" s="31"/>
    </row>
    <row r="34" spans="1:5" ht="18.75" customHeight="1">
      <c r="A34" s="29"/>
      <c r="B34" s="30"/>
      <c r="C34" s="30"/>
      <c r="D34" s="30"/>
      <c r="E34" s="31"/>
    </row>
    <row r="35" spans="1:5" ht="18.75" customHeight="1">
      <c r="A35" s="29"/>
      <c r="B35" s="30"/>
      <c r="C35" s="30"/>
      <c r="D35" s="30"/>
      <c r="E35" s="31"/>
    </row>
    <row r="36" spans="1:5" ht="18.75" customHeight="1">
      <c r="A36" s="29"/>
      <c r="B36" s="30"/>
      <c r="C36" s="30"/>
      <c r="D36" s="30"/>
      <c r="E36" s="31"/>
    </row>
    <row r="37" spans="1:5" ht="18.75" customHeight="1">
      <c r="A37" s="29"/>
      <c r="B37" s="30"/>
      <c r="C37" s="30"/>
      <c r="D37" s="30"/>
      <c r="E37" s="31"/>
    </row>
  </sheetData>
  <mergeCells count="36">
    <mergeCell ref="A2:E2"/>
    <mergeCell ref="B3:E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9055099999999999" right="0" top="0.70866" bottom="0" header="0.55118" footer="0.3937"/>
  <pageSetup firstPageNumber="2" useFirstPageNumber="1" horizontalDpi="300" verticalDpi="300" orientation="portrait" pageOrder="overThenDown" paperSize="9"/>
  <headerFooter alignWithMargins="0">
    <oddFooter>&amp;L&amp;C&amp;P&amp;R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123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12.8515625" style="0" customWidth="1"/>
    <col min="3" max="3" width="16.7109375" style="0" customWidth="1"/>
    <col min="4" max="4" width="4.8515625" style="0" customWidth="1"/>
    <col min="5" max="5" width="5.00390625" style="0" customWidth="1"/>
    <col min="6" max="6" width="7.8515625" style="0" customWidth="1"/>
    <col min="7" max="7" width="9.28125" style="0" customWidth="1"/>
    <col min="8" max="8" width="10.7109375" style="0" customWidth="1"/>
    <col min="9" max="9" width="7.57421875" style="0" customWidth="1"/>
    <col min="10" max="10" width="7.140625" style="0" customWidth="1"/>
    <col min="11" max="11" width="11.00390625" style="0" customWidth="1"/>
  </cols>
  <sheetData>
    <row r="1" spans="1:10" ht="7.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26.25" customHeight="1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customHeight="1">
      <c r="A3" s="55" t="s">
        <v>24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 customHeight="1">
      <c r="A4" s="55" t="s">
        <v>25</v>
      </c>
      <c r="B4" s="56" t="s">
        <v>26</v>
      </c>
      <c r="C4" s="56"/>
      <c r="D4" s="56"/>
      <c r="E4" s="56"/>
      <c r="F4" s="56"/>
      <c r="G4" s="56"/>
      <c r="H4" s="57" t="s">
        <v>67</v>
      </c>
      <c r="I4" s="57"/>
      <c r="J4" s="57"/>
    </row>
    <row r="5" spans="1:11" ht="26.25" customHeight="1">
      <c r="A5" s="58" t="s">
        <v>28</v>
      </c>
      <c r="B5" s="58" t="s">
        <v>68</v>
      </c>
      <c r="C5" s="58" t="s">
        <v>69</v>
      </c>
      <c r="D5" s="58"/>
      <c r="E5" s="58" t="s">
        <v>70</v>
      </c>
      <c r="F5" s="58" t="s">
        <v>71</v>
      </c>
      <c r="G5" s="58" t="s">
        <v>72</v>
      </c>
      <c r="H5" s="58" t="s">
        <v>73</v>
      </c>
      <c r="I5" s="59" t="s">
        <v>74</v>
      </c>
      <c r="J5" s="58" t="s">
        <v>75</v>
      </c>
    </row>
    <row r="6" spans="1:10" ht="18.75" customHeight="1">
      <c r="A6" s="60" t="s">
        <v>31</v>
      </c>
      <c r="B6" s="58"/>
      <c r="C6" s="60" t="s">
        <v>32</v>
      </c>
      <c r="D6" s="60"/>
      <c r="E6" s="58"/>
      <c r="F6" s="61"/>
      <c r="G6" s="61"/>
      <c r="H6" s="61"/>
      <c r="I6" s="58"/>
      <c r="J6" s="60"/>
    </row>
    <row r="7" spans="1:10" ht="27.75" customHeight="1">
      <c r="A7" s="60" t="s">
        <v>76</v>
      </c>
      <c r="B7" s="58"/>
      <c r="C7" s="60" t="s">
        <v>77</v>
      </c>
      <c r="D7" s="60"/>
      <c r="E7" s="58"/>
      <c r="F7" s="61"/>
      <c r="G7" s="61"/>
      <c r="H7" s="61"/>
      <c r="I7" s="58"/>
      <c r="J7" s="60"/>
    </row>
    <row r="8" spans="1:10" ht="27.75" customHeight="1">
      <c r="A8" s="60" t="s">
        <v>78</v>
      </c>
      <c r="B8" s="58" t="s">
        <v>79</v>
      </c>
      <c r="C8" s="60" t="s">
        <v>80</v>
      </c>
      <c r="D8" s="60"/>
      <c r="E8" s="58" t="s">
        <v>81</v>
      </c>
      <c r="F8" s="61">
        <v>1214</v>
      </c>
      <c r="G8" s="61"/>
      <c r="H8" s="61"/>
      <c r="I8" s="58" t="s">
        <v>83</v>
      </c>
      <c r="J8" s="60"/>
    </row>
    <row r="9" spans="1:10" ht="18.75" customHeight="1">
      <c r="A9" s="60" t="s">
        <v>84</v>
      </c>
      <c r="B9" s="58" t="s">
        <v>85</v>
      </c>
      <c r="C9" s="60" t="s">
        <v>86</v>
      </c>
      <c r="D9" s="60"/>
      <c r="E9" s="58" t="s">
        <v>87</v>
      </c>
      <c r="F9" s="61">
        <v>1500</v>
      </c>
      <c r="G9" s="61"/>
      <c r="H9" s="61"/>
      <c r="I9" s="58" t="s">
        <v>89</v>
      </c>
      <c r="J9" s="60"/>
    </row>
    <row r="10" spans="1:10" ht="27.75" customHeight="1">
      <c r="A10" s="60" t="s">
        <v>90</v>
      </c>
      <c r="B10" s="58" t="s">
        <v>91</v>
      </c>
      <c r="C10" s="60" t="s">
        <v>92</v>
      </c>
      <c r="D10" s="60"/>
      <c r="E10" s="58" t="s">
        <v>81</v>
      </c>
      <c r="F10" s="61">
        <v>809</v>
      </c>
      <c r="G10" s="61"/>
      <c r="H10" s="61"/>
      <c r="I10" s="58" t="s">
        <v>83</v>
      </c>
      <c r="J10" s="60"/>
    </row>
    <row r="11" spans="1:10" ht="27.75" customHeight="1">
      <c r="A11" s="60" t="s">
        <v>94</v>
      </c>
      <c r="B11" s="58" t="s">
        <v>95</v>
      </c>
      <c r="C11" s="60" t="s">
        <v>96</v>
      </c>
      <c r="D11" s="60"/>
      <c r="E11" s="58" t="s">
        <v>97</v>
      </c>
      <c r="F11" s="61">
        <v>2248</v>
      </c>
      <c r="G11" s="61"/>
      <c r="H11" s="61"/>
      <c r="I11" s="58" t="s">
        <v>99</v>
      </c>
      <c r="J11" s="60"/>
    </row>
    <row r="12" spans="1:10" ht="27.75" customHeight="1">
      <c r="A12" s="60" t="s">
        <v>100</v>
      </c>
      <c r="B12" s="58" t="s">
        <v>101</v>
      </c>
      <c r="C12" s="60" t="s">
        <v>102</v>
      </c>
      <c r="D12" s="60"/>
      <c r="E12" s="58" t="s">
        <v>103</v>
      </c>
      <c r="F12" s="61">
        <v>908.9</v>
      </c>
      <c r="G12" s="61"/>
      <c r="H12" s="61"/>
      <c r="I12" s="58" t="s">
        <v>105</v>
      </c>
      <c r="J12" s="60"/>
    </row>
    <row r="13" spans="1:10" ht="18.75" customHeight="1">
      <c r="A13" s="60" t="s">
        <v>106</v>
      </c>
      <c r="B13" s="58" t="s">
        <v>107</v>
      </c>
      <c r="C13" s="60" t="s">
        <v>108</v>
      </c>
      <c r="D13" s="60"/>
      <c r="E13" s="58" t="s">
        <v>81</v>
      </c>
      <c r="F13" s="61">
        <v>1408.5</v>
      </c>
      <c r="G13" s="61"/>
      <c r="H13" s="61"/>
      <c r="I13" s="58" t="s">
        <v>110</v>
      </c>
      <c r="J13" s="60"/>
    </row>
    <row r="14" spans="1:10" ht="18.75" customHeight="1">
      <c r="A14" s="60" t="s">
        <v>111</v>
      </c>
      <c r="B14" s="58"/>
      <c r="C14" s="60" t="s">
        <v>112</v>
      </c>
      <c r="D14" s="60"/>
      <c r="E14" s="58" t="s">
        <v>113</v>
      </c>
      <c r="F14" s="61">
        <v>1048</v>
      </c>
      <c r="G14" s="61"/>
      <c r="H14" s="61"/>
      <c r="I14" s="58"/>
      <c r="J14" s="60"/>
    </row>
    <row r="15" spans="1:10" ht="18.75" customHeight="1">
      <c r="A15" s="60" t="s">
        <v>115</v>
      </c>
      <c r="B15" s="58" t="s">
        <v>116</v>
      </c>
      <c r="C15" s="60" t="s">
        <v>117</v>
      </c>
      <c r="D15" s="60"/>
      <c r="E15" s="58" t="s">
        <v>81</v>
      </c>
      <c r="F15" s="61">
        <v>28.3</v>
      </c>
      <c r="G15" s="61"/>
      <c r="H15" s="61"/>
      <c r="I15" s="58" t="s">
        <v>105</v>
      </c>
      <c r="J15" s="60"/>
    </row>
    <row r="16" spans="1:10" ht="18.75" customHeight="1">
      <c r="A16" s="60" t="s">
        <v>119</v>
      </c>
      <c r="B16" s="58" t="s">
        <v>120</v>
      </c>
      <c r="C16" s="60" t="s">
        <v>121</v>
      </c>
      <c r="D16" s="60"/>
      <c r="E16" s="58" t="s">
        <v>87</v>
      </c>
      <c r="F16" s="61">
        <v>2128</v>
      </c>
      <c r="G16" s="61"/>
      <c r="H16" s="61"/>
      <c r="I16" s="58" t="s">
        <v>123</v>
      </c>
      <c r="J16" s="60"/>
    </row>
    <row r="17" spans="1:10" ht="27.75" customHeight="1">
      <c r="A17" s="60" t="s">
        <v>124</v>
      </c>
      <c r="B17" s="58" t="s">
        <v>125</v>
      </c>
      <c r="C17" s="60" t="s">
        <v>126</v>
      </c>
      <c r="D17" s="60"/>
      <c r="E17" s="58" t="s">
        <v>97</v>
      </c>
      <c r="F17" s="61">
        <v>425.6</v>
      </c>
      <c r="G17" s="61"/>
      <c r="H17" s="61"/>
      <c r="I17" s="58" t="s">
        <v>99</v>
      </c>
      <c r="J17" s="60"/>
    </row>
    <row r="18" spans="1:10" ht="27.75" customHeight="1">
      <c r="A18" s="60" t="s">
        <v>128</v>
      </c>
      <c r="B18" s="58" t="s">
        <v>129</v>
      </c>
      <c r="C18" s="60" t="s">
        <v>130</v>
      </c>
      <c r="D18" s="60"/>
      <c r="E18" s="58" t="s">
        <v>87</v>
      </c>
      <c r="F18" s="61">
        <v>2383.1</v>
      </c>
      <c r="G18" s="61"/>
      <c r="H18" s="61"/>
      <c r="I18" s="58" t="s">
        <v>132</v>
      </c>
      <c r="J18" s="60"/>
    </row>
    <row r="19" spans="1:10" ht="18.75" customHeight="1">
      <c r="A19" s="60" t="s">
        <v>133</v>
      </c>
      <c r="B19" s="58" t="s">
        <v>134</v>
      </c>
      <c r="C19" s="60" t="s">
        <v>135</v>
      </c>
      <c r="D19" s="60"/>
      <c r="E19" s="58" t="s">
        <v>87</v>
      </c>
      <c r="F19" s="61">
        <v>136.2</v>
      </c>
      <c r="G19" s="61"/>
      <c r="H19" s="61"/>
      <c r="I19" s="58" t="s">
        <v>137</v>
      </c>
      <c r="J19" s="60"/>
    </row>
    <row r="20" spans="1:10" ht="27.75" customHeight="1">
      <c r="A20" s="60" t="s">
        <v>138</v>
      </c>
      <c r="B20" s="58" t="s">
        <v>139</v>
      </c>
      <c r="C20" s="60" t="s">
        <v>140</v>
      </c>
      <c r="D20" s="60"/>
      <c r="E20" s="58" t="s">
        <v>81</v>
      </c>
      <c r="F20" s="61">
        <v>128.7</v>
      </c>
      <c r="G20" s="61"/>
      <c r="H20" s="61"/>
      <c r="I20" s="58" t="s">
        <v>142</v>
      </c>
      <c r="J20" s="60"/>
    </row>
    <row r="21" spans="1:10" ht="27.75" customHeight="1">
      <c r="A21" s="60" t="s">
        <v>143</v>
      </c>
      <c r="B21" s="58"/>
      <c r="C21" s="60" t="s">
        <v>144</v>
      </c>
      <c r="D21" s="60"/>
      <c r="E21" s="58" t="s">
        <v>145</v>
      </c>
      <c r="F21" s="61">
        <v>128.7</v>
      </c>
      <c r="G21" s="61"/>
      <c r="H21" s="61"/>
      <c r="I21" s="58"/>
      <c r="J21" s="60"/>
    </row>
    <row r="22" spans="1:10" ht="18.75" customHeight="1">
      <c r="A22" s="60" t="s">
        <v>146</v>
      </c>
      <c r="B22" s="58" t="s">
        <v>147</v>
      </c>
      <c r="C22" s="60" t="s">
        <v>148</v>
      </c>
      <c r="D22" s="60"/>
      <c r="E22" s="58" t="s">
        <v>149</v>
      </c>
      <c r="F22" s="61">
        <v>45.8</v>
      </c>
      <c r="G22" s="61"/>
      <c r="H22" s="61"/>
      <c r="I22" s="58" t="s">
        <v>151</v>
      </c>
      <c r="J22" s="60"/>
    </row>
    <row r="23" spans="1:10" ht="27.75" customHeight="1">
      <c r="A23" s="60" t="s">
        <v>152</v>
      </c>
      <c r="B23" s="58"/>
      <c r="C23" s="60" t="s">
        <v>153</v>
      </c>
      <c r="D23" s="60"/>
      <c r="E23" s="58"/>
      <c r="F23" s="61"/>
      <c r="G23" s="61"/>
      <c r="H23" s="61"/>
      <c r="I23" s="58"/>
      <c r="J23" s="60"/>
    </row>
    <row r="24" spans="1:10" ht="27.75" customHeight="1">
      <c r="A24" s="60" t="s">
        <v>154</v>
      </c>
      <c r="B24" s="58" t="s">
        <v>155</v>
      </c>
      <c r="C24" s="60" t="s">
        <v>80</v>
      </c>
      <c r="D24" s="60"/>
      <c r="E24" s="58" t="s">
        <v>81</v>
      </c>
      <c r="F24" s="61">
        <v>5168</v>
      </c>
      <c r="G24" s="61"/>
      <c r="H24" s="61"/>
      <c r="I24" s="58" t="s">
        <v>83</v>
      </c>
      <c r="J24" s="60"/>
    </row>
    <row r="25" spans="1:10" ht="40.5" customHeight="1">
      <c r="A25" s="60" t="s">
        <v>157</v>
      </c>
      <c r="B25" s="58" t="s">
        <v>158</v>
      </c>
      <c r="C25" s="60" t="s">
        <v>159</v>
      </c>
      <c r="D25" s="60"/>
      <c r="E25" s="58" t="s">
        <v>81</v>
      </c>
      <c r="F25" s="61">
        <v>3445</v>
      </c>
      <c r="G25" s="61"/>
      <c r="H25" s="61"/>
      <c r="I25" s="58" t="s">
        <v>83</v>
      </c>
      <c r="J25" s="60"/>
    </row>
    <row r="26" spans="1:10" ht="18.75" customHeight="1">
      <c r="A26" s="60" t="s">
        <v>161</v>
      </c>
      <c r="B26" s="58" t="s">
        <v>162</v>
      </c>
      <c r="C26" s="60" t="s">
        <v>86</v>
      </c>
      <c r="D26" s="60"/>
      <c r="E26" s="58" t="s">
        <v>87</v>
      </c>
      <c r="F26" s="61">
        <v>4108</v>
      </c>
      <c r="G26" s="61"/>
      <c r="H26" s="61"/>
      <c r="I26" s="58" t="s">
        <v>89</v>
      </c>
      <c r="J26" s="60"/>
    </row>
    <row r="27" spans="1:10" ht="18.75" customHeight="1">
      <c r="A27" s="60" t="s">
        <v>164</v>
      </c>
      <c r="B27" s="58" t="s">
        <v>165</v>
      </c>
      <c r="C27" s="60" t="s">
        <v>166</v>
      </c>
      <c r="D27" s="60"/>
      <c r="E27" s="58" t="s">
        <v>81</v>
      </c>
      <c r="F27" s="61">
        <v>6221</v>
      </c>
      <c r="G27" s="61"/>
      <c r="H27" s="61"/>
      <c r="I27" s="58" t="s">
        <v>83</v>
      </c>
      <c r="J27" s="60"/>
    </row>
    <row r="28" spans="1:10" ht="27.75" customHeight="1">
      <c r="A28" s="60" t="s">
        <v>168</v>
      </c>
      <c r="B28" s="58" t="s">
        <v>169</v>
      </c>
      <c r="C28" s="60" t="s">
        <v>96</v>
      </c>
      <c r="D28" s="60"/>
      <c r="E28" s="58" t="s">
        <v>97</v>
      </c>
      <c r="F28" s="61">
        <v>2034</v>
      </c>
      <c r="G28" s="61"/>
      <c r="H28" s="61"/>
      <c r="I28" s="58" t="s">
        <v>99</v>
      </c>
      <c r="J28" s="60"/>
    </row>
    <row r="29" spans="1:10" ht="27.75" customHeight="1">
      <c r="A29" s="60" t="s">
        <v>171</v>
      </c>
      <c r="B29" s="58" t="s">
        <v>172</v>
      </c>
      <c r="C29" s="60" t="s">
        <v>102</v>
      </c>
      <c r="D29" s="60"/>
      <c r="E29" s="58" t="s">
        <v>103</v>
      </c>
      <c r="F29" s="61">
        <v>3543</v>
      </c>
      <c r="G29" s="61"/>
      <c r="H29" s="61"/>
      <c r="I29" s="58" t="s">
        <v>105</v>
      </c>
      <c r="J29" s="60"/>
    </row>
    <row r="30" spans="1:10" ht="7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26.25" customHeight="1">
      <c r="A31" s="54" t="s">
        <v>66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8.75" customHeight="1">
      <c r="A32" s="55" t="s">
        <v>24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8.75" customHeight="1">
      <c r="A33" s="55" t="s">
        <v>25</v>
      </c>
      <c r="B33" s="56" t="s">
        <v>26</v>
      </c>
      <c r="C33" s="56"/>
      <c r="D33" s="56"/>
      <c r="E33" s="56"/>
      <c r="F33" s="56"/>
      <c r="G33" s="56"/>
      <c r="H33" s="57" t="s">
        <v>174</v>
      </c>
      <c r="I33" s="57"/>
      <c r="J33" s="57"/>
    </row>
    <row r="34" spans="1:11" ht="26.25" customHeight="1">
      <c r="A34" s="58" t="s">
        <v>28</v>
      </c>
      <c r="B34" s="58" t="s">
        <v>68</v>
      </c>
      <c r="C34" s="58" t="s">
        <v>69</v>
      </c>
      <c r="D34" s="58"/>
      <c r="E34" s="58" t="s">
        <v>70</v>
      </c>
      <c r="F34" s="58" t="s">
        <v>71</v>
      </c>
      <c r="G34" s="58" t="s">
        <v>72</v>
      </c>
      <c r="H34" s="58" t="s">
        <v>73</v>
      </c>
      <c r="I34" s="59" t="s">
        <v>74</v>
      </c>
      <c r="J34" s="58" t="s">
        <v>75</v>
      </c>
    </row>
    <row r="35" spans="1:10" ht="18.75" customHeight="1">
      <c r="A35" s="60" t="s">
        <v>175</v>
      </c>
      <c r="B35" s="58" t="s">
        <v>176</v>
      </c>
      <c r="C35" s="60" t="s">
        <v>108</v>
      </c>
      <c r="D35" s="60"/>
      <c r="E35" s="58" t="s">
        <v>81</v>
      </c>
      <c r="F35" s="61">
        <v>3567.4</v>
      </c>
      <c r="G35" s="61"/>
      <c r="H35" s="61"/>
      <c r="I35" s="58" t="s">
        <v>110</v>
      </c>
      <c r="J35" s="60"/>
    </row>
    <row r="36" spans="1:10" ht="18.75" customHeight="1">
      <c r="A36" s="60" t="s">
        <v>178</v>
      </c>
      <c r="B36" s="58" t="s">
        <v>179</v>
      </c>
      <c r="C36" s="60" t="s">
        <v>180</v>
      </c>
      <c r="D36" s="60"/>
      <c r="E36" s="58" t="s">
        <v>81</v>
      </c>
      <c r="F36" s="61">
        <v>354.3</v>
      </c>
      <c r="G36" s="61"/>
      <c r="H36" s="61"/>
      <c r="I36" s="58" t="s">
        <v>110</v>
      </c>
      <c r="J36" s="60"/>
    </row>
    <row r="37" spans="1:10" ht="18.75" customHeight="1">
      <c r="A37" s="60" t="s">
        <v>182</v>
      </c>
      <c r="B37" s="58"/>
      <c r="C37" s="60" t="s">
        <v>112</v>
      </c>
      <c r="D37" s="60"/>
      <c r="E37" s="58" t="s">
        <v>113</v>
      </c>
      <c r="F37" s="61">
        <v>2371.9</v>
      </c>
      <c r="G37" s="61"/>
      <c r="H37" s="61"/>
      <c r="I37" s="58"/>
      <c r="J37" s="60"/>
    </row>
    <row r="38" spans="1:10" ht="18.75" customHeight="1">
      <c r="A38" s="60" t="s">
        <v>184</v>
      </c>
      <c r="B38" s="58" t="s">
        <v>185</v>
      </c>
      <c r="C38" s="60" t="s">
        <v>117</v>
      </c>
      <c r="D38" s="60"/>
      <c r="E38" s="58" t="s">
        <v>81</v>
      </c>
      <c r="F38" s="61">
        <v>64</v>
      </c>
      <c r="G38" s="61"/>
      <c r="H38" s="61"/>
      <c r="I38" s="58" t="s">
        <v>105</v>
      </c>
      <c r="J38" s="60"/>
    </row>
    <row r="39" spans="1:10" ht="18.75" customHeight="1">
      <c r="A39" s="60" t="s">
        <v>187</v>
      </c>
      <c r="B39" s="58" t="s">
        <v>188</v>
      </c>
      <c r="C39" s="60" t="s">
        <v>121</v>
      </c>
      <c r="D39" s="60"/>
      <c r="E39" s="58" t="s">
        <v>87</v>
      </c>
      <c r="F39" s="61">
        <v>8633.8</v>
      </c>
      <c r="G39" s="61"/>
      <c r="H39" s="61"/>
      <c r="I39" s="58" t="s">
        <v>123</v>
      </c>
      <c r="J39" s="60"/>
    </row>
    <row r="40" spans="1:10" ht="27.75" customHeight="1">
      <c r="A40" s="60" t="s">
        <v>190</v>
      </c>
      <c r="B40" s="58" t="s">
        <v>191</v>
      </c>
      <c r="C40" s="60" t="s">
        <v>126</v>
      </c>
      <c r="D40" s="60"/>
      <c r="E40" s="58" t="s">
        <v>97</v>
      </c>
      <c r="F40" s="61">
        <v>1726.8</v>
      </c>
      <c r="G40" s="61"/>
      <c r="H40" s="61"/>
      <c r="I40" s="58" t="s">
        <v>99</v>
      </c>
      <c r="J40" s="60"/>
    </row>
    <row r="41" spans="1:10" ht="27.75" customHeight="1">
      <c r="A41" s="60" t="s">
        <v>193</v>
      </c>
      <c r="B41" s="58" t="s">
        <v>194</v>
      </c>
      <c r="C41" s="60" t="s">
        <v>130</v>
      </c>
      <c r="D41" s="60"/>
      <c r="E41" s="58" t="s">
        <v>87</v>
      </c>
      <c r="F41" s="61">
        <v>6364.3</v>
      </c>
      <c r="G41" s="61"/>
      <c r="H41" s="61"/>
      <c r="I41" s="58" t="s">
        <v>132</v>
      </c>
      <c r="J41" s="60"/>
    </row>
    <row r="42" spans="1:10" ht="18.75" customHeight="1">
      <c r="A42" s="60" t="s">
        <v>196</v>
      </c>
      <c r="B42" s="58" t="s">
        <v>197</v>
      </c>
      <c r="C42" s="60" t="s">
        <v>135</v>
      </c>
      <c r="D42" s="60"/>
      <c r="E42" s="58" t="s">
        <v>87</v>
      </c>
      <c r="F42" s="61">
        <v>353.6</v>
      </c>
      <c r="G42" s="61"/>
      <c r="H42" s="61"/>
      <c r="I42" s="58" t="s">
        <v>137</v>
      </c>
      <c r="J42" s="60"/>
    </row>
    <row r="43" spans="1:10" ht="27.75" customHeight="1">
      <c r="A43" s="60" t="s">
        <v>199</v>
      </c>
      <c r="B43" s="58" t="s">
        <v>200</v>
      </c>
      <c r="C43" s="60" t="s">
        <v>140</v>
      </c>
      <c r="D43" s="60"/>
      <c r="E43" s="58" t="s">
        <v>81</v>
      </c>
      <c r="F43" s="61">
        <v>1587.9</v>
      </c>
      <c r="G43" s="61"/>
      <c r="H43" s="61"/>
      <c r="I43" s="58" t="s">
        <v>142</v>
      </c>
      <c r="J43" s="60"/>
    </row>
    <row r="44" spans="1:10" ht="27.75" customHeight="1">
      <c r="A44" s="60" t="s">
        <v>202</v>
      </c>
      <c r="B44" s="58"/>
      <c r="C44" s="60" t="s">
        <v>144</v>
      </c>
      <c r="D44" s="60"/>
      <c r="E44" s="58" t="s">
        <v>145</v>
      </c>
      <c r="F44" s="61">
        <v>1587.9</v>
      </c>
      <c r="G44" s="61"/>
      <c r="H44" s="61"/>
      <c r="I44" s="58"/>
      <c r="J44" s="60"/>
    </row>
    <row r="45" spans="1:10" ht="18.75" customHeight="1">
      <c r="A45" s="60" t="s">
        <v>203</v>
      </c>
      <c r="B45" s="58" t="s">
        <v>204</v>
      </c>
      <c r="C45" s="60" t="s">
        <v>148</v>
      </c>
      <c r="D45" s="60"/>
      <c r="E45" s="58" t="s">
        <v>149</v>
      </c>
      <c r="F45" s="61">
        <v>348.3</v>
      </c>
      <c r="G45" s="61"/>
      <c r="H45" s="61"/>
      <c r="I45" s="58" t="s">
        <v>151</v>
      </c>
      <c r="J45" s="60"/>
    </row>
    <row r="46" spans="1:10" ht="18.75" customHeight="1">
      <c r="A46" s="60" t="s">
        <v>34</v>
      </c>
      <c r="B46" s="58"/>
      <c r="C46" s="60" t="s">
        <v>35</v>
      </c>
      <c r="D46" s="60"/>
      <c r="E46" s="58"/>
      <c r="F46" s="61"/>
      <c r="G46" s="61"/>
      <c r="H46" s="61"/>
      <c r="I46" s="58"/>
      <c r="J46" s="60"/>
    </row>
    <row r="47" spans="1:10" ht="27.75" customHeight="1">
      <c r="A47" s="60" t="s">
        <v>206</v>
      </c>
      <c r="B47" s="58"/>
      <c r="C47" s="60" t="s">
        <v>207</v>
      </c>
      <c r="D47" s="60"/>
      <c r="E47" s="58"/>
      <c r="F47" s="61"/>
      <c r="G47" s="61"/>
      <c r="H47" s="61"/>
      <c r="I47" s="58"/>
      <c r="J47" s="60"/>
    </row>
    <row r="48" spans="1:10" ht="27.75" customHeight="1">
      <c r="A48" s="60" t="s">
        <v>208</v>
      </c>
      <c r="B48" s="58" t="s">
        <v>209</v>
      </c>
      <c r="C48" s="60" t="s">
        <v>210</v>
      </c>
      <c r="D48" s="60"/>
      <c r="E48" s="58" t="s">
        <v>81</v>
      </c>
      <c r="F48" s="61">
        <v>303</v>
      </c>
      <c r="G48" s="61"/>
      <c r="H48" s="61"/>
      <c r="I48" s="58" t="s">
        <v>83</v>
      </c>
      <c r="J48" s="60"/>
    </row>
    <row r="49" spans="1:10" ht="27.75" customHeight="1">
      <c r="A49" s="60" t="s">
        <v>212</v>
      </c>
      <c r="B49" s="58" t="s">
        <v>213</v>
      </c>
      <c r="C49" s="60" t="s">
        <v>92</v>
      </c>
      <c r="D49" s="60"/>
      <c r="E49" s="58" t="s">
        <v>81</v>
      </c>
      <c r="F49" s="61">
        <v>202</v>
      </c>
      <c r="G49" s="61"/>
      <c r="H49" s="61"/>
      <c r="I49" s="58" t="s">
        <v>83</v>
      </c>
      <c r="J49" s="60"/>
    </row>
    <row r="50" spans="1:10" ht="18.75" customHeight="1">
      <c r="A50" s="60" t="s">
        <v>215</v>
      </c>
      <c r="B50" s="58" t="s">
        <v>216</v>
      </c>
      <c r="C50" s="60" t="s">
        <v>166</v>
      </c>
      <c r="D50" s="60"/>
      <c r="E50" s="58" t="s">
        <v>81</v>
      </c>
      <c r="F50" s="61">
        <v>199</v>
      </c>
      <c r="G50" s="61"/>
      <c r="H50" s="61"/>
      <c r="I50" s="58" t="s">
        <v>83</v>
      </c>
      <c r="J50" s="60"/>
    </row>
    <row r="51" spans="1:10" ht="27.75" customHeight="1">
      <c r="A51" s="60" t="s">
        <v>218</v>
      </c>
      <c r="B51" s="58" t="s">
        <v>219</v>
      </c>
      <c r="C51" s="60" t="s">
        <v>96</v>
      </c>
      <c r="D51" s="60"/>
      <c r="E51" s="58" t="s">
        <v>97</v>
      </c>
      <c r="F51" s="61">
        <v>260</v>
      </c>
      <c r="G51" s="61"/>
      <c r="H51" s="61"/>
      <c r="I51" s="58" t="s">
        <v>99</v>
      </c>
      <c r="J51" s="60"/>
    </row>
    <row r="52" spans="1:10" ht="27.75" customHeight="1">
      <c r="A52" s="60" t="s">
        <v>221</v>
      </c>
      <c r="B52" s="58" t="s">
        <v>222</v>
      </c>
      <c r="C52" s="60" t="s">
        <v>102</v>
      </c>
      <c r="D52" s="60"/>
      <c r="E52" s="58" t="s">
        <v>103</v>
      </c>
      <c r="F52" s="61">
        <v>73.5</v>
      </c>
      <c r="G52" s="61"/>
      <c r="H52" s="61"/>
      <c r="I52" s="58" t="s">
        <v>105</v>
      </c>
      <c r="J52" s="60"/>
    </row>
    <row r="53" spans="1:10" ht="27.75" customHeight="1">
      <c r="A53" s="60" t="s">
        <v>224</v>
      </c>
      <c r="B53" s="58" t="s">
        <v>225</v>
      </c>
      <c r="C53" s="60" t="s">
        <v>226</v>
      </c>
      <c r="D53" s="60"/>
      <c r="E53" s="58" t="s">
        <v>81</v>
      </c>
      <c r="F53" s="61">
        <v>216.8</v>
      </c>
      <c r="G53" s="61"/>
      <c r="H53" s="61"/>
      <c r="I53" s="58" t="s">
        <v>110</v>
      </c>
      <c r="J53" s="60"/>
    </row>
    <row r="54" spans="1:10" ht="18.75" customHeight="1">
      <c r="A54" s="60" t="s">
        <v>228</v>
      </c>
      <c r="B54" s="58"/>
      <c r="C54" s="60" t="s">
        <v>112</v>
      </c>
      <c r="D54" s="60"/>
      <c r="E54" s="58" t="s">
        <v>113</v>
      </c>
      <c r="F54" s="61">
        <v>293.2</v>
      </c>
      <c r="G54" s="61"/>
      <c r="H54" s="61"/>
      <c r="I54" s="58"/>
      <c r="J54" s="60"/>
    </row>
    <row r="55" spans="1:10" ht="18.75" customHeight="1">
      <c r="A55" s="60" t="s">
        <v>230</v>
      </c>
      <c r="B55" s="58" t="s">
        <v>231</v>
      </c>
      <c r="C55" s="60" t="s">
        <v>117</v>
      </c>
      <c r="D55" s="60"/>
      <c r="E55" s="58" t="s">
        <v>81</v>
      </c>
      <c r="F55" s="61">
        <v>9.9</v>
      </c>
      <c r="G55" s="61"/>
      <c r="H55" s="61"/>
      <c r="I55" s="58" t="s">
        <v>105</v>
      </c>
      <c r="J55" s="60"/>
    </row>
    <row r="56" spans="1:10" ht="18.75" customHeight="1">
      <c r="A56" s="60" t="s">
        <v>233</v>
      </c>
      <c r="B56" s="58" t="s">
        <v>234</v>
      </c>
      <c r="C56" s="60" t="s">
        <v>121</v>
      </c>
      <c r="D56" s="60"/>
      <c r="E56" s="58" t="s">
        <v>87</v>
      </c>
      <c r="F56" s="61">
        <v>749.5</v>
      </c>
      <c r="G56" s="61"/>
      <c r="H56" s="61"/>
      <c r="I56" s="58" t="s">
        <v>123</v>
      </c>
      <c r="J56" s="60"/>
    </row>
    <row r="57" spans="1:10" ht="27.75" customHeight="1">
      <c r="A57" s="60" t="s">
        <v>236</v>
      </c>
      <c r="B57" s="58" t="s">
        <v>237</v>
      </c>
      <c r="C57" s="60" t="s">
        <v>126</v>
      </c>
      <c r="D57" s="60"/>
      <c r="E57" s="58" t="s">
        <v>97</v>
      </c>
      <c r="F57" s="61">
        <v>150</v>
      </c>
      <c r="G57" s="61"/>
      <c r="H57" s="61"/>
      <c r="I57" s="58" t="s">
        <v>99</v>
      </c>
      <c r="J57" s="60"/>
    </row>
    <row r="58" spans="1:10" ht="18.75" customHeight="1">
      <c r="A58" s="60" t="s">
        <v>239</v>
      </c>
      <c r="B58" s="58" t="s">
        <v>240</v>
      </c>
      <c r="C58" s="60" t="s">
        <v>135</v>
      </c>
      <c r="D58" s="60"/>
      <c r="E58" s="58" t="s">
        <v>87</v>
      </c>
      <c r="F58" s="61">
        <v>21.1</v>
      </c>
      <c r="G58" s="61"/>
      <c r="H58" s="61"/>
      <c r="I58" s="58" t="s">
        <v>137</v>
      </c>
      <c r="J58" s="60"/>
    </row>
    <row r="59" spans="1:10" ht="27.75" customHeight="1">
      <c r="A59" s="60" t="s">
        <v>242</v>
      </c>
      <c r="B59" s="58" t="s">
        <v>243</v>
      </c>
      <c r="C59" s="60" t="s">
        <v>130</v>
      </c>
      <c r="D59" s="60"/>
      <c r="E59" s="58" t="s">
        <v>87</v>
      </c>
      <c r="F59" s="61">
        <v>676.2</v>
      </c>
      <c r="G59" s="61"/>
      <c r="H59" s="61"/>
      <c r="I59" s="58" t="s">
        <v>132</v>
      </c>
      <c r="J59" s="60"/>
    </row>
    <row r="60" spans="1:10" ht="7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26.25" customHeight="1">
      <c r="A61" s="54" t="s">
        <v>66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8.75" customHeight="1">
      <c r="A62" s="55" t="s">
        <v>24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8.75" customHeight="1">
      <c r="A63" s="55" t="s">
        <v>25</v>
      </c>
      <c r="B63" s="56" t="s">
        <v>26</v>
      </c>
      <c r="C63" s="56"/>
      <c r="D63" s="56"/>
      <c r="E63" s="56"/>
      <c r="F63" s="56"/>
      <c r="G63" s="56"/>
      <c r="H63" s="57" t="s">
        <v>245</v>
      </c>
      <c r="I63" s="57"/>
      <c r="J63" s="57"/>
    </row>
    <row r="64" spans="1:11" ht="26.25" customHeight="1">
      <c r="A64" s="58" t="s">
        <v>28</v>
      </c>
      <c r="B64" s="58" t="s">
        <v>68</v>
      </c>
      <c r="C64" s="58" t="s">
        <v>69</v>
      </c>
      <c r="D64" s="58"/>
      <c r="E64" s="58" t="s">
        <v>70</v>
      </c>
      <c r="F64" s="58" t="s">
        <v>71</v>
      </c>
      <c r="G64" s="58" t="s">
        <v>72</v>
      </c>
      <c r="H64" s="58" t="s">
        <v>73</v>
      </c>
      <c r="I64" s="59" t="s">
        <v>74</v>
      </c>
      <c r="J64" s="58" t="s">
        <v>75</v>
      </c>
    </row>
    <row r="65" spans="1:10" ht="27.75" customHeight="1">
      <c r="A65" s="60" t="s">
        <v>246</v>
      </c>
      <c r="B65" s="58"/>
      <c r="C65" s="60" t="s">
        <v>247</v>
      </c>
      <c r="D65" s="60"/>
      <c r="E65" s="58"/>
      <c r="F65" s="61"/>
      <c r="G65" s="61"/>
      <c r="H65" s="61"/>
      <c r="I65" s="58"/>
      <c r="J65" s="60"/>
    </row>
    <row r="66" spans="1:10" ht="27.75" customHeight="1">
      <c r="A66" s="60" t="s">
        <v>248</v>
      </c>
      <c r="B66" s="58" t="s">
        <v>249</v>
      </c>
      <c r="C66" s="60" t="s">
        <v>210</v>
      </c>
      <c r="D66" s="60"/>
      <c r="E66" s="58" t="s">
        <v>81</v>
      </c>
      <c r="F66" s="61">
        <v>307.6</v>
      </c>
      <c r="G66" s="61"/>
      <c r="H66" s="61"/>
      <c r="I66" s="58" t="s">
        <v>83</v>
      </c>
      <c r="J66" s="60"/>
    </row>
    <row r="67" spans="1:10" ht="27.75" customHeight="1">
      <c r="A67" s="60" t="s">
        <v>251</v>
      </c>
      <c r="B67" s="58" t="s">
        <v>252</v>
      </c>
      <c r="C67" s="60" t="s">
        <v>92</v>
      </c>
      <c r="D67" s="60"/>
      <c r="E67" s="58" t="s">
        <v>81</v>
      </c>
      <c r="F67" s="61">
        <v>205</v>
      </c>
      <c r="G67" s="61"/>
      <c r="H67" s="61"/>
      <c r="I67" s="58" t="s">
        <v>83</v>
      </c>
      <c r="J67" s="60"/>
    </row>
    <row r="68" spans="1:10" ht="18.75" customHeight="1">
      <c r="A68" s="60" t="s">
        <v>254</v>
      </c>
      <c r="B68" s="58" t="s">
        <v>255</v>
      </c>
      <c r="C68" s="60" t="s">
        <v>166</v>
      </c>
      <c r="D68" s="60"/>
      <c r="E68" s="58" t="s">
        <v>81</v>
      </c>
      <c r="F68" s="61">
        <v>246</v>
      </c>
      <c r="G68" s="61"/>
      <c r="H68" s="61"/>
      <c r="I68" s="58" t="s">
        <v>83</v>
      </c>
      <c r="J68" s="60"/>
    </row>
    <row r="69" spans="1:10" ht="27.75" customHeight="1">
      <c r="A69" s="60" t="s">
        <v>257</v>
      </c>
      <c r="B69" s="58" t="s">
        <v>258</v>
      </c>
      <c r="C69" s="60" t="s">
        <v>96</v>
      </c>
      <c r="D69" s="60"/>
      <c r="E69" s="58" t="s">
        <v>97</v>
      </c>
      <c r="F69" s="61">
        <v>226</v>
      </c>
      <c r="G69" s="61"/>
      <c r="H69" s="61"/>
      <c r="I69" s="58" t="s">
        <v>99</v>
      </c>
      <c r="J69" s="60"/>
    </row>
    <row r="70" spans="1:10" ht="27.75" customHeight="1">
      <c r="A70" s="60" t="s">
        <v>260</v>
      </c>
      <c r="B70" s="58" t="s">
        <v>261</v>
      </c>
      <c r="C70" s="60" t="s">
        <v>102</v>
      </c>
      <c r="D70" s="60"/>
      <c r="E70" s="58" t="s">
        <v>103</v>
      </c>
      <c r="F70" s="61">
        <v>73.5</v>
      </c>
      <c r="G70" s="61"/>
      <c r="H70" s="61"/>
      <c r="I70" s="58" t="s">
        <v>105</v>
      </c>
      <c r="J70" s="60"/>
    </row>
    <row r="71" spans="1:10" ht="27.75" customHeight="1">
      <c r="A71" s="60" t="s">
        <v>262</v>
      </c>
      <c r="B71" s="58" t="s">
        <v>263</v>
      </c>
      <c r="C71" s="60" t="s">
        <v>226</v>
      </c>
      <c r="D71" s="60"/>
      <c r="E71" s="58" t="s">
        <v>81</v>
      </c>
      <c r="F71" s="61">
        <v>216.8</v>
      </c>
      <c r="G71" s="61"/>
      <c r="H71" s="61"/>
      <c r="I71" s="58" t="s">
        <v>110</v>
      </c>
      <c r="J71" s="60"/>
    </row>
    <row r="72" spans="1:10" ht="18.75" customHeight="1">
      <c r="A72" s="60" t="s">
        <v>264</v>
      </c>
      <c r="B72" s="58"/>
      <c r="C72" s="60" t="s">
        <v>112</v>
      </c>
      <c r="D72" s="60"/>
      <c r="E72" s="58" t="s">
        <v>113</v>
      </c>
      <c r="F72" s="61">
        <v>293.2</v>
      </c>
      <c r="G72" s="61"/>
      <c r="H72" s="61"/>
      <c r="I72" s="58"/>
      <c r="J72" s="60"/>
    </row>
    <row r="73" spans="1:10" ht="18.75" customHeight="1">
      <c r="A73" s="60" t="s">
        <v>265</v>
      </c>
      <c r="B73" s="58" t="s">
        <v>266</v>
      </c>
      <c r="C73" s="60" t="s">
        <v>117</v>
      </c>
      <c r="D73" s="60"/>
      <c r="E73" s="58" t="s">
        <v>81</v>
      </c>
      <c r="F73" s="61">
        <v>9.9</v>
      </c>
      <c r="G73" s="61"/>
      <c r="H73" s="61"/>
      <c r="I73" s="58" t="s">
        <v>105</v>
      </c>
      <c r="J73" s="60"/>
    </row>
    <row r="74" spans="1:10" ht="18.75" customHeight="1">
      <c r="A74" s="60" t="s">
        <v>267</v>
      </c>
      <c r="B74" s="58" t="s">
        <v>268</v>
      </c>
      <c r="C74" s="60" t="s">
        <v>121</v>
      </c>
      <c r="D74" s="60"/>
      <c r="E74" s="58" t="s">
        <v>87</v>
      </c>
      <c r="F74" s="61">
        <v>471.8</v>
      </c>
      <c r="G74" s="61"/>
      <c r="H74" s="61"/>
      <c r="I74" s="58" t="s">
        <v>123</v>
      </c>
      <c r="J74" s="60"/>
    </row>
    <row r="75" spans="1:10" ht="27.75" customHeight="1">
      <c r="A75" s="60" t="s">
        <v>270</v>
      </c>
      <c r="B75" s="58" t="s">
        <v>271</v>
      </c>
      <c r="C75" s="60" t="s">
        <v>126</v>
      </c>
      <c r="D75" s="60"/>
      <c r="E75" s="58" t="s">
        <v>97</v>
      </c>
      <c r="F75" s="61">
        <v>94</v>
      </c>
      <c r="G75" s="61"/>
      <c r="H75" s="61"/>
      <c r="I75" s="58" t="s">
        <v>99</v>
      </c>
      <c r="J75" s="60"/>
    </row>
    <row r="76" spans="1:10" ht="18.75" customHeight="1">
      <c r="A76" s="60" t="s">
        <v>273</v>
      </c>
      <c r="B76" s="58" t="s">
        <v>274</v>
      </c>
      <c r="C76" s="60" t="s">
        <v>135</v>
      </c>
      <c r="D76" s="60"/>
      <c r="E76" s="58" t="s">
        <v>87</v>
      </c>
      <c r="F76" s="61">
        <v>21.1</v>
      </c>
      <c r="G76" s="61"/>
      <c r="H76" s="61"/>
      <c r="I76" s="58" t="s">
        <v>137</v>
      </c>
      <c r="J76" s="60"/>
    </row>
    <row r="77" spans="1:10" ht="27.75" customHeight="1">
      <c r="A77" s="60" t="s">
        <v>275</v>
      </c>
      <c r="B77" s="58" t="s">
        <v>276</v>
      </c>
      <c r="C77" s="60" t="s">
        <v>130</v>
      </c>
      <c r="D77" s="60"/>
      <c r="E77" s="58" t="s">
        <v>87</v>
      </c>
      <c r="F77" s="61">
        <v>676.2</v>
      </c>
      <c r="G77" s="61"/>
      <c r="H77" s="61"/>
      <c r="I77" s="58" t="s">
        <v>132</v>
      </c>
      <c r="J77" s="60"/>
    </row>
    <row r="78" spans="1:10" ht="18.75" customHeight="1">
      <c r="A78" s="60" t="s">
        <v>37</v>
      </c>
      <c r="B78" s="58"/>
      <c r="C78" s="60" t="s">
        <v>38</v>
      </c>
      <c r="D78" s="60"/>
      <c r="E78" s="58"/>
      <c r="F78" s="61"/>
      <c r="G78" s="61"/>
      <c r="H78" s="61"/>
      <c r="I78" s="58"/>
      <c r="J78" s="60"/>
    </row>
    <row r="79" spans="1:10" ht="27.75" customHeight="1">
      <c r="A79" s="60" t="s">
        <v>277</v>
      </c>
      <c r="B79" s="58" t="s">
        <v>278</v>
      </c>
      <c r="C79" s="60" t="s">
        <v>210</v>
      </c>
      <c r="D79" s="60"/>
      <c r="E79" s="58" t="s">
        <v>81</v>
      </c>
      <c r="F79" s="61">
        <v>278.9</v>
      </c>
      <c r="G79" s="61"/>
      <c r="H79" s="61"/>
      <c r="I79" s="58" t="s">
        <v>83</v>
      </c>
      <c r="J79" s="60"/>
    </row>
    <row r="80" spans="1:10" ht="27.75" customHeight="1">
      <c r="A80" s="60" t="s">
        <v>280</v>
      </c>
      <c r="B80" s="58" t="s">
        <v>281</v>
      </c>
      <c r="C80" s="60" t="s">
        <v>92</v>
      </c>
      <c r="D80" s="60"/>
      <c r="E80" s="58" t="s">
        <v>81</v>
      </c>
      <c r="F80" s="61">
        <v>111</v>
      </c>
      <c r="G80" s="61"/>
      <c r="H80" s="61"/>
      <c r="I80" s="58" t="s">
        <v>83</v>
      </c>
      <c r="J80" s="60"/>
    </row>
    <row r="81" spans="1:10" ht="27.75" customHeight="1">
      <c r="A81" s="60" t="s">
        <v>283</v>
      </c>
      <c r="B81" s="58" t="s">
        <v>284</v>
      </c>
      <c r="C81" s="60" t="s">
        <v>96</v>
      </c>
      <c r="D81" s="60"/>
      <c r="E81" s="58" t="s">
        <v>97</v>
      </c>
      <c r="F81" s="61">
        <v>472.8</v>
      </c>
      <c r="G81" s="61"/>
      <c r="H81" s="61"/>
      <c r="I81" s="58" t="s">
        <v>99</v>
      </c>
      <c r="J81" s="60"/>
    </row>
    <row r="82" spans="1:10" ht="27.75" customHeight="1">
      <c r="A82" s="60" t="s">
        <v>286</v>
      </c>
      <c r="B82" s="58" t="s">
        <v>287</v>
      </c>
      <c r="C82" s="60" t="s">
        <v>288</v>
      </c>
      <c r="D82" s="60"/>
      <c r="E82" s="58" t="s">
        <v>87</v>
      </c>
      <c r="F82" s="61">
        <v>350</v>
      </c>
      <c r="G82" s="61"/>
      <c r="H82" s="61"/>
      <c r="I82" s="58" t="s">
        <v>110</v>
      </c>
      <c r="J82" s="60"/>
    </row>
    <row r="83" spans="1:10" ht="18.75" customHeight="1">
      <c r="A83" s="60" t="s">
        <v>290</v>
      </c>
      <c r="B83" s="58" t="s">
        <v>291</v>
      </c>
      <c r="C83" s="60" t="s">
        <v>292</v>
      </c>
      <c r="D83" s="60"/>
      <c r="E83" s="58" t="s">
        <v>81</v>
      </c>
      <c r="F83" s="61">
        <v>174.6</v>
      </c>
      <c r="G83" s="61"/>
      <c r="H83" s="61"/>
      <c r="I83" s="58" t="s">
        <v>110</v>
      </c>
      <c r="J83" s="60"/>
    </row>
    <row r="84" spans="1:10" ht="27.75" customHeight="1">
      <c r="A84" s="60" t="s">
        <v>294</v>
      </c>
      <c r="B84" s="58" t="s">
        <v>295</v>
      </c>
      <c r="C84" s="60" t="s">
        <v>296</v>
      </c>
      <c r="D84" s="60"/>
      <c r="E84" s="58" t="s">
        <v>81</v>
      </c>
      <c r="F84" s="61">
        <v>78.4</v>
      </c>
      <c r="G84" s="61"/>
      <c r="H84" s="61"/>
      <c r="I84" s="58" t="s">
        <v>105</v>
      </c>
      <c r="J84" s="60"/>
    </row>
    <row r="85" spans="1:10" ht="27.75" customHeight="1">
      <c r="A85" s="60" t="s">
        <v>298</v>
      </c>
      <c r="B85" s="58" t="s">
        <v>299</v>
      </c>
      <c r="C85" s="60" t="s">
        <v>300</v>
      </c>
      <c r="D85" s="60"/>
      <c r="E85" s="58" t="s">
        <v>113</v>
      </c>
      <c r="F85" s="61">
        <v>18</v>
      </c>
      <c r="G85" s="61"/>
      <c r="H85" s="61"/>
      <c r="I85" s="58" t="s">
        <v>302</v>
      </c>
      <c r="J85" s="60"/>
    </row>
    <row r="86" spans="1:10" ht="27.75" customHeight="1">
      <c r="A86" s="60" t="s">
        <v>303</v>
      </c>
      <c r="B86" s="58" t="s">
        <v>304</v>
      </c>
      <c r="C86" s="60" t="s">
        <v>305</v>
      </c>
      <c r="D86" s="60"/>
      <c r="E86" s="58" t="s">
        <v>113</v>
      </c>
      <c r="F86" s="61">
        <v>30</v>
      </c>
      <c r="G86" s="61"/>
      <c r="H86" s="61"/>
      <c r="I86" s="58" t="s">
        <v>302</v>
      </c>
      <c r="J86" s="60"/>
    </row>
    <row r="87" spans="1:10" ht="27.75" customHeight="1">
      <c r="A87" s="60" t="s">
        <v>307</v>
      </c>
      <c r="B87" s="58" t="s">
        <v>308</v>
      </c>
      <c r="C87" s="60" t="s">
        <v>309</v>
      </c>
      <c r="D87" s="60"/>
      <c r="E87" s="58" t="s">
        <v>113</v>
      </c>
      <c r="F87" s="61">
        <v>10</v>
      </c>
      <c r="G87" s="61"/>
      <c r="H87" s="61"/>
      <c r="I87" s="58" t="s">
        <v>302</v>
      </c>
      <c r="J87" s="60"/>
    </row>
    <row r="88" spans="1:10" ht="26.25" customHeight="1">
      <c r="A88" s="60" t="s">
        <v>310</v>
      </c>
      <c r="B88" s="58" t="s">
        <v>311</v>
      </c>
      <c r="C88" s="60" t="s">
        <v>312</v>
      </c>
      <c r="D88" s="60"/>
      <c r="E88" s="58" t="s">
        <v>113</v>
      </c>
      <c r="F88" s="61">
        <v>12</v>
      </c>
      <c r="G88" s="61"/>
      <c r="H88" s="61"/>
      <c r="I88" s="58" t="s">
        <v>302</v>
      </c>
      <c r="J88" s="60"/>
    </row>
    <row r="89" spans="1:10" ht="7.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26.25" customHeight="1">
      <c r="A90" s="54" t="s">
        <v>66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8.75" customHeight="1">
      <c r="A91" s="55" t="s">
        <v>24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8.75" customHeight="1">
      <c r="A92" s="55" t="s">
        <v>25</v>
      </c>
      <c r="B92" s="56" t="s">
        <v>26</v>
      </c>
      <c r="C92" s="56"/>
      <c r="D92" s="56"/>
      <c r="E92" s="56"/>
      <c r="F92" s="56"/>
      <c r="G92" s="56"/>
      <c r="H92" s="57" t="s">
        <v>314</v>
      </c>
      <c r="I92" s="57"/>
      <c r="J92" s="57"/>
    </row>
    <row r="93" spans="1:11" ht="26.25" customHeight="1">
      <c r="A93" s="58" t="s">
        <v>28</v>
      </c>
      <c r="B93" s="58" t="s">
        <v>68</v>
      </c>
      <c r="C93" s="58" t="s">
        <v>69</v>
      </c>
      <c r="D93" s="58"/>
      <c r="E93" s="58" t="s">
        <v>70</v>
      </c>
      <c r="F93" s="58" t="s">
        <v>71</v>
      </c>
      <c r="G93" s="58" t="s">
        <v>72</v>
      </c>
      <c r="H93" s="58" t="s">
        <v>73</v>
      </c>
      <c r="I93" s="59" t="s">
        <v>74</v>
      </c>
      <c r="J93" s="58" t="s">
        <v>75</v>
      </c>
    </row>
    <row r="94" spans="1:10" ht="27.75" customHeight="1">
      <c r="A94" s="60" t="s">
        <v>315</v>
      </c>
      <c r="B94" s="58" t="s">
        <v>316</v>
      </c>
      <c r="C94" s="60" t="s">
        <v>317</v>
      </c>
      <c r="D94" s="60"/>
      <c r="E94" s="58" t="s">
        <v>81</v>
      </c>
      <c r="F94" s="61">
        <v>114.6</v>
      </c>
      <c r="G94" s="61"/>
      <c r="H94" s="61"/>
      <c r="I94" s="58" t="s">
        <v>110</v>
      </c>
      <c r="J94" s="60"/>
    </row>
    <row r="95" spans="1:10" ht="18.75" customHeight="1">
      <c r="A95" s="60" t="s">
        <v>319</v>
      </c>
      <c r="B95" s="58" t="s">
        <v>320</v>
      </c>
      <c r="C95" s="60" t="s">
        <v>321</v>
      </c>
      <c r="D95" s="60"/>
      <c r="E95" s="58" t="s">
        <v>81</v>
      </c>
      <c r="F95" s="61">
        <v>37.8</v>
      </c>
      <c r="G95" s="61"/>
      <c r="H95" s="61"/>
      <c r="I95" s="58" t="s">
        <v>110</v>
      </c>
      <c r="J95" s="60"/>
    </row>
    <row r="96" spans="1:10" ht="27.75" customHeight="1">
      <c r="A96" s="60" t="s">
        <v>323</v>
      </c>
      <c r="B96" s="58" t="s">
        <v>324</v>
      </c>
      <c r="C96" s="60" t="s">
        <v>130</v>
      </c>
      <c r="D96" s="60"/>
      <c r="E96" s="58" t="s">
        <v>87</v>
      </c>
      <c r="F96" s="61">
        <v>350.8</v>
      </c>
      <c r="G96" s="61"/>
      <c r="H96" s="61"/>
      <c r="I96" s="58" t="s">
        <v>132</v>
      </c>
      <c r="J96" s="60"/>
    </row>
    <row r="97" spans="1:10" ht="18.75" customHeight="1">
      <c r="A97" s="60" t="s">
        <v>40</v>
      </c>
      <c r="B97" s="58"/>
      <c r="C97" s="60" t="s">
        <v>41</v>
      </c>
      <c r="D97" s="60"/>
      <c r="E97" s="58"/>
      <c r="F97" s="61"/>
      <c r="G97" s="61"/>
      <c r="H97" s="61"/>
      <c r="I97" s="58"/>
      <c r="J97" s="60"/>
    </row>
    <row r="98" spans="1:10" ht="27.75" customHeight="1">
      <c r="A98" s="60" t="s">
        <v>326</v>
      </c>
      <c r="B98" s="58" t="s">
        <v>327</v>
      </c>
      <c r="C98" s="60" t="s">
        <v>328</v>
      </c>
      <c r="D98" s="60"/>
      <c r="E98" s="58" t="s">
        <v>81</v>
      </c>
      <c r="F98" s="61">
        <v>8307</v>
      </c>
      <c r="G98" s="61"/>
      <c r="H98" s="61"/>
      <c r="I98" s="58" t="s">
        <v>330</v>
      </c>
      <c r="J98" s="60"/>
    </row>
    <row r="99" spans="1:10" ht="27.75" customHeight="1">
      <c r="A99" s="60" t="s">
        <v>331</v>
      </c>
      <c r="B99" s="58" t="s">
        <v>332</v>
      </c>
      <c r="C99" s="60" t="s">
        <v>333</v>
      </c>
      <c r="D99" s="60"/>
      <c r="E99" s="58" t="s">
        <v>81</v>
      </c>
      <c r="F99" s="61">
        <v>8307</v>
      </c>
      <c r="G99" s="61"/>
      <c r="H99" s="61"/>
      <c r="I99" s="58" t="s">
        <v>83</v>
      </c>
      <c r="J99" s="60"/>
    </row>
    <row r="100" spans="1:10" ht="18.75" customHeight="1">
      <c r="A100" s="60" t="s">
        <v>43</v>
      </c>
      <c r="B100" s="58"/>
      <c r="C100" s="60" t="s">
        <v>44</v>
      </c>
      <c r="D100" s="60"/>
      <c r="E100" s="58" t="s">
        <v>334</v>
      </c>
      <c r="F100" s="61">
        <v>1</v>
      </c>
      <c r="G100" s="61"/>
      <c r="H100" s="61"/>
      <c r="I100" s="58"/>
      <c r="J100" s="60"/>
    </row>
    <row r="101" spans="1:10" ht="18.75" customHeight="1">
      <c r="A101" s="60"/>
      <c r="B101" s="58"/>
      <c r="C101" s="60"/>
      <c r="D101" s="60"/>
      <c r="E101" s="58"/>
      <c r="F101" s="61"/>
      <c r="G101" s="61"/>
      <c r="H101" s="61"/>
      <c r="I101" s="58"/>
      <c r="J101" s="60"/>
    </row>
    <row r="102" spans="1:10" ht="18.75" customHeight="1">
      <c r="A102" s="60"/>
      <c r="B102" s="58"/>
      <c r="C102" s="60"/>
      <c r="D102" s="60"/>
      <c r="E102" s="58"/>
      <c r="F102" s="61"/>
      <c r="G102" s="61"/>
      <c r="H102" s="61"/>
      <c r="I102" s="58"/>
      <c r="J102" s="60"/>
    </row>
    <row r="103" spans="1:10" ht="18.75" customHeight="1">
      <c r="A103" s="60"/>
      <c r="B103" s="58"/>
      <c r="C103" s="60"/>
      <c r="D103" s="60"/>
      <c r="E103" s="58"/>
      <c r="F103" s="61"/>
      <c r="G103" s="61"/>
      <c r="H103" s="61"/>
      <c r="I103" s="58"/>
      <c r="J103" s="60"/>
    </row>
    <row r="104" spans="1:10" ht="18.75" customHeight="1">
      <c r="A104" s="60"/>
      <c r="B104" s="58"/>
      <c r="C104" s="60"/>
      <c r="D104" s="60"/>
      <c r="E104" s="58"/>
      <c r="F104" s="61"/>
      <c r="G104" s="61"/>
      <c r="H104" s="61"/>
      <c r="I104" s="58"/>
      <c r="J104" s="60"/>
    </row>
    <row r="105" spans="1:10" ht="18.75" customHeight="1">
      <c r="A105" s="60"/>
      <c r="B105" s="58"/>
      <c r="C105" s="60"/>
      <c r="D105" s="60"/>
      <c r="E105" s="58"/>
      <c r="F105" s="61"/>
      <c r="G105" s="61"/>
      <c r="H105" s="61"/>
      <c r="I105" s="58"/>
      <c r="J105" s="60"/>
    </row>
    <row r="106" spans="1:10" ht="18.75" customHeight="1">
      <c r="A106" s="60"/>
      <c r="B106" s="58"/>
      <c r="C106" s="60"/>
      <c r="D106" s="60"/>
      <c r="E106" s="58"/>
      <c r="F106" s="61"/>
      <c r="G106" s="61"/>
      <c r="H106" s="61"/>
      <c r="I106" s="58"/>
      <c r="J106" s="60"/>
    </row>
    <row r="107" spans="1:10" ht="18.75" customHeight="1">
      <c r="A107" s="60"/>
      <c r="B107" s="58"/>
      <c r="C107" s="60"/>
      <c r="D107" s="60"/>
      <c r="E107" s="58"/>
      <c r="F107" s="61"/>
      <c r="G107" s="61"/>
      <c r="H107" s="61"/>
      <c r="I107" s="58"/>
      <c r="J107" s="60"/>
    </row>
    <row r="108" spans="1:10" ht="18.75" customHeight="1">
      <c r="A108" s="60"/>
      <c r="B108" s="58"/>
      <c r="C108" s="60"/>
      <c r="D108" s="60"/>
      <c r="E108" s="58"/>
      <c r="F108" s="61"/>
      <c r="G108" s="61"/>
      <c r="H108" s="61"/>
      <c r="I108" s="58"/>
      <c r="J108" s="60"/>
    </row>
    <row r="109" spans="1:10" ht="18.75" customHeight="1">
      <c r="A109" s="60"/>
      <c r="B109" s="58"/>
      <c r="C109" s="60"/>
      <c r="D109" s="60"/>
      <c r="E109" s="58"/>
      <c r="F109" s="61"/>
      <c r="G109" s="61"/>
      <c r="H109" s="61"/>
      <c r="I109" s="58"/>
      <c r="J109" s="60"/>
    </row>
    <row r="110" spans="1:10" ht="18.75" customHeight="1">
      <c r="A110" s="60"/>
      <c r="B110" s="58"/>
      <c r="C110" s="60"/>
      <c r="D110" s="60"/>
      <c r="E110" s="58"/>
      <c r="F110" s="61"/>
      <c r="G110" s="61"/>
      <c r="H110" s="61"/>
      <c r="I110" s="58"/>
      <c r="J110" s="60"/>
    </row>
    <row r="111" spans="1:10" ht="18.75" customHeight="1">
      <c r="A111" s="60"/>
      <c r="B111" s="58"/>
      <c r="C111" s="60"/>
      <c r="D111" s="60"/>
      <c r="E111" s="58"/>
      <c r="F111" s="61"/>
      <c r="G111" s="61"/>
      <c r="H111" s="61"/>
      <c r="I111" s="58"/>
      <c r="J111" s="60"/>
    </row>
    <row r="112" spans="1:10" ht="18.75" customHeight="1">
      <c r="A112" s="60"/>
      <c r="B112" s="58"/>
      <c r="C112" s="60"/>
      <c r="D112" s="60"/>
      <c r="E112" s="58"/>
      <c r="F112" s="61"/>
      <c r="G112" s="61"/>
      <c r="H112" s="61"/>
      <c r="I112" s="58"/>
      <c r="J112" s="60"/>
    </row>
    <row r="113" spans="1:10" ht="18.75" customHeight="1">
      <c r="A113" s="60"/>
      <c r="B113" s="58"/>
      <c r="C113" s="60"/>
      <c r="D113" s="60"/>
      <c r="E113" s="58"/>
      <c r="F113" s="61"/>
      <c r="G113" s="61"/>
      <c r="H113" s="61"/>
      <c r="I113" s="58"/>
      <c r="J113" s="60"/>
    </row>
    <row r="114" spans="1:10" ht="18.75" customHeight="1">
      <c r="A114" s="60"/>
      <c r="B114" s="58"/>
      <c r="C114" s="60"/>
      <c r="D114" s="60"/>
      <c r="E114" s="58"/>
      <c r="F114" s="61"/>
      <c r="G114" s="61"/>
      <c r="H114" s="61"/>
      <c r="I114" s="58"/>
      <c r="J114" s="60"/>
    </row>
    <row r="115" spans="1:10" ht="18.75" customHeight="1">
      <c r="A115" s="60"/>
      <c r="B115" s="58"/>
      <c r="C115" s="60"/>
      <c r="D115" s="60"/>
      <c r="E115" s="58"/>
      <c r="F115" s="61"/>
      <c r="G115" s="61"/>
      <c r="H115" s="61"/>
      <c r="I115" s="58"/>
      <c r="J115" s="60"/>
    </row>
    <row r="116" spans="1:10" ht="18.75" customHeight="1">
      <c r="A116" s="60"/>
      <c r="B116" s="58"/>
      <c r="C116" s="60"/>
      <c r="D116" s="60"/>
      <c r="E116" s="58"/>
      <c r="F116" s="61"/>
      <c r="G116" s="61"/>
      <c r="H116" s="61"/>
      <c r="I116" s="58"/>
      <c r="J116" s="60"/>
    </row>
    <row r="117" spans="1:10" ht="18.75" customHeight="1">
      <c r="A117" s="60"/>
      <c r="B117" s="58"/>
      <c r="C117" s="60"/>
      <c r="D117" s="60"/>
      <c r="E117" s="58"/>
      <c r="F117" s="61"/>
      <c r="G117" s="61"/>
      <c r="H117" s="61"/>
      <c r="I117" s="58"/>
      <c r="J117" s="60"/>
    </row>
    <row r="118" spans="1:10" ht="18.75" customHeight="1">
      <c r="A118" s="60"/>
      <c r="B118" s="58"/>
      <c r="C118" s="60"/>
      <c r="D118" s="60"/>
      <c r="E118" s="58"/>
      <c r="F118" s="61"/>
      <c r="G118" s="61"/>
      <c r="H118" s="61"/>
      <c r="I118" s="58"/>
      <c r="J118" s="60"/>
    </row>
    <row r="119" spans="1:10" ht="18.75" customHeight="1">
      <c r="A119" s="60"/>
      <c r="B119" s="58"/>
      <c r="C119" s="60"/>
      <c r="D119" s="60"/>
      <c r="E119" s="58"/>
      <c r="F119" s="61"/>
      <c r="G119" s="61"/>
      <c r="H119" s="61"/>
      <c r="I119" s="58"/>
      <c r="J119" s="60"/>
    </row>
    <row r="120" spans="1:10" ht="18.75" customHeight="1">
      <c r="A120" s="60"/>
      <c r="B120" s="58"/>
      <c r="C120" s="60"/>
      <c r="D120" s="60"/>
      <c r="E120" s="58"/>
      <c r="F120" s="61"/>
      <c r="G120" s="61"/>
      <c r="H120" s="61"/>
      <c r="I120" s="58"/>
      <c r="J120" s="60"/>
    </row>
    <row r="121" spans="1:10" ht="18.75" customHeight="1">
      <c r="A121" s="60"/>
      <c r="B121" s="58"/>
      <c r="C121" s="60"/>
      <c r="D121" s="60"/>
      <c r="E121" s="58"/>
      <c r="F121" s="61"/>
      <c r="G121" s="61"/>
      <c r="H121" s="61"/>
      <c r="I121" s="58"/>
      <c r="J121" s="60"/>
    </row>
    <row r="122" spans="1:10" ht="18.75" customHeight="1">
      <c r="A122" s="60"/>
      <c r="B122" s="58"/>
      <c r="C122" s="60"/>
      <c r="D122" s="60"/>
      <c r="E122" s="58"/>
      <c r="F122" s="61"/>
      <c r="G122" s="61"/>
      <c r="H122" s="61"/>
      <c r="I122" s="58"/>
      <c r="J122" s="60"/>
    </row>
    <row r="123" spans="1:10" ht="18.75" customHeight="1">
      <c r="A123" s="60"/>
      <c r="B123" s="58"/>
      <c r="C123" s="60"/>
      <c r="D123" s="60"/>
      <c r="E123" s="58"/>
      <c r="F123" s="61"/>
      <c r="G123" s="61"/>
      <c r="H123" s="61"/>
      <c r="I123" s="58"/>
      <c r="J123" s="60"/>
    </row>
  </sheetData>
  <mergeCells count="123">
    <mergeCell ref="A2:J2"/>
    <mergeCell ref="B3:J3"/>
    <mergeCell ref="B4:G4"/>
    <mergeCell ref="H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1:J31"/>
    <mergeCell ref="B32:J32"/>
    <mergeCell ref="B33:G33"/>
    <mergeCell ref="H33:J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1:J61"/>
    <mergeCell ref="B62:J62"/>
    <mergeCell ref="B63:G63"/>
    <mergeCell ref="H63:J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A90:J90"/>
    <mergeCell ref="B91:J91"/>
    <mergeCell ref="B92:G92"/>
    <mergeCell ref="H92:J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</mergeCells>
  <printOptions/>
  <pageMargins left="0.9055099999999999" right="0" top="0.70866" bottom="0" header="0.55118" footer="0.3937"/>
  <pageSetup firstPageNumber="3" useFirstPageNumber="1" horizontalDpi="300" verticalDpi="300" orientation="portrait" pageOrder="overThenDown" paperSize="9"/>
  <headerFooter alignWithMargins="0">
    <oddFooter>&amp;L&amp;C&amp;P&amp;R</oddFooter>
  </headerFooter>
  <rowBreaks count="3" manualBreakCount="3">
    <brk id="29" max="255" man="1"/>
    <brk id="59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24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12.8515625" style="0" customWidth="1"/>
    <col min="3" max="3" width="20.8515625" style="0" customWidth="1"/>
    <col min="4" max="4" width="12.421875" style="0" customWidth="1"/>
    <col min="5" max="5" width="5.00390625" style="0" customWidth="1"/>
    <col min="6" max="6" width="7.8515625" style="0" customWidth="1"/>
    <col min="7" max="7" width="11.421875" style="0" customWidth="1"/>
    <col min="8" max="8" width="10.00390625" style="0" customWidth="1"/>
    <col min="9" max="9" width="11.421875" style="0" customWidth="1"/>
    <col min="10" max="10" width="10.00390625" style="0" customWidth="1"/>
    <col min="11" max="11" width="10.7109375" style="0" customWidth="1"/>
    <col min="12" max="12" width="8.28125" style="0" customWidth="1"/>
    <col min="13" max="13" width="9.421875" style="0" customWidth="1"/>
    <col min="14" max="14" width="11.00390625" style="0" customWidth="1"/>
  </cols>
  <sheetData>
    <row r="1" spans="1:13" ht="7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6.2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 customHeight="1">
      <c r="A3" s="85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 customHeight="1">
      <c r="A4" s="85" t="s">
        <v>25</v>
      </c>
      <c r="B4" s="86" t="s">
        <v>26</v>
      </c>
      <c r="C4" s="86"/>
      <c r="D4" s="86"/>
      <c r="E4" s="86"/>
      <c r="F4" s="86"/>
      <c r="G4" s="86"/>
      <c r="H4" s="86"/>
      <c r="I4" s="86"/>
      <c r="J4" s="86"/>
      <c r="K4" s="87" t="s">
        <v>335</v>
      </c>
      <c r="L4" s="87"/>
      <c r="M4" s="87"/>
    </row>
    <row r="5" spans="1:14" ht="40.5" customHeight="1">
      <c r="A5" s="88" t="s">
        <v>28</v>
      </c>
      <c r="B5" s="88" t="s">
        <v>68</v>
      </c>
      <c r="C5" s="88" t="s">
        <v>69</v>
      </c>
      <c r="D5" s="88"/>
      <c r="E5" s="88" t="s">
        <v>70</v>
      </c>
      <c r="F5" s="88" t="s">
        <v>71</v>
      </c>
      <c r="G5" s="89" t="s">
        <v>336</v>
      </c>
      <c r="H5" s="88" t="s">
        <v>337</v>
      </c>
      <c r="I5" s="89" t="s">
        <v>338</v>
      </c>
      <c r="J5" s="88" t="s">
        <v>339</v>
      </c>
      <c r="K5" s="88" t="s">
        <v>73</v>
      </c>
      <c r="L5" s="89" t="s">
        <v>74</v>
      </c>
      <c r="M5" s="88" t="s">
        <v>75</v>
      </c>
    </row>
    <row r="6" spans="1:13" ht="18.75" customHeight="1">
      <c r="A6" s="90"/>
      <c r="B6" s="88"/>
      <c r="C6" s="90"/>
      <c r="D6" s="90"/>
      <c r="E6" s="88"/>
      <c r="F6" s="91"/>
      <c r="G6" s="91"/>
      <c r="H6" s="91"/>
      <c r="I6" s="91"/>
      <c r="J6" s="91"/>
      <c r="K6" s="91"/>
      <c r="L6" s="88"/>
      <c r="M6" s="90"/>
    </row>
    <row r="7" spans="1:13" ht="18.75" customHeight="1">
      <c r="A7" s="90"/>
      <c r="B7" s="88"/>
      <c r="C7" s="90"/>
      <c r="D7" s="90"/>
      <c r="E7" s="88"/>
      <c r="F7" s="91"/>
      <c r="G7" s="91"/>
      <c r="H7" s="91"/>
      <c r="I7" s="91"/>
      <c r="J7" s="91"/>
      <c r="K7" s="91"/>
      <c r="L7" s="88"/>
      <c r="M7" s="90"/>
    </row>
    <row r="8" spans="1:13" ht="18.75" customHeight="1">
      <c r="A8" s="90"/>
      <c r="B8" s="88"/>
      <c r="C8" s="90"/>
      <c r="D8" s="90"/>
      <c r="E8" s="88"/>
      <c r="F8" s="91"/>
      <c r="G8" s="91"/>
      <c r="H8" s="91"/>
      <c r="I8" s="91"/>
      <c r="J8" s="91"/>
      <c r="K8" s="91"/>
      <c r="L8" s="88"/>
      <c r="M8" s="90"/>
    </row>
    <row r="9" spans="1:13" ht="18.75" customHeight="1">
      <c r="A9" s="90"/>
      <c r="B9" s="88"/>
      <c r="C9" s="90"/>
      <c r="D9" s="90"/>
      <c r="E9" s="88"/>
      <c r="F9" s="91"/>
      <c r="G9" s="91"/>
      <c r="H9" s="91"/>
      <c r="I9" s="91"/>
      <c r="J9" s="91"/>
      <c r="K9" s="91"/>
      <c r="L9" s="88"/>
      <c r="M9" s="90"/>
    </row>
    <row r="10" spans="1:13" ht="18.75" customHeight="1">
      <c r="A10" s="90"/>
      <c r="B10" s="88"/>
      <c r="C10" s="90"/>
      <c r="D10" s="90"/>
      <c r="E10" s="88"/>
      <c r="F10" s="91"/>
      <c r="G10" s="91"/>
      <c r="H10" s="91"/>
      <c r="I10" s="91"/>
      <c r="J10" s="91"/>
      <c r="K10" s="91"/>
      <c r="L10" s="88"/>
      <c r="M10" s="90"/>
    </row>
    <row r="11" spans="1:13" ht="18.75" customHeight="1">
      <c r="A11" s="90"/>
      <c r="B11" s="88"/>
      <c r="C11" s="90"/>
      <c r="D11" s="90"/>
      <c r="E11" s="88"/>
      <c r="F11" s="91"/>
      <c r="G11" s="91"/>
      <c r="H11" s="91"/>
      <c r="I11" s="91"/>
      <c r="J11" s="91"/>
      <c r="K11" s="91"/>
      <c r="L11" s="88"/>
      <c r="M11" s="90"/>
    </row>
    <row r="12" spans="1:13" ht="18.75" customHeight="1">
      <c r="A12" s="90"/>
      <c r="B12" s="88"/>
      <c r="C12" s="90"/>
      <c r="D12" s="90"/>
      <c r="E12" s="88"/>
      <c r="F12" s="91"/>
      <c r="G12" s="91"/>
      <c r="H12" s="91"/>
      <c r="I12" s="91"/>
      <c r="J12" s="91"/>
      <c r="K12" s="91"/>
      <c r="L12" s="88"/>
      <c r="M12" s="90"/>
    </row>
    <row r="13" spans="1:13" ht="18.75" customHeight="1">
      <c r="A13" s="90"/>
      <c r="B13" s="88"/>
      <c r="C13" s="90"/>
      <c r="D13" s="90"/>
      <c r="E13" s="88"/>
      <c r="F13" s="91"/>
      <c r="G13" s="91"/>
      <c r="H13" s="91"/>
      <c r="I13" s="91"/>
      <c r="J13" s="91"/>
      <c r="K13" s="91"/>
      <c r="L13" s="88"/>
      <c r="M13" s="90"/>
    </row>
    <row r="14" spans="1:13" ht="18.75" customHeight="1">
      <c r="A14" s="90"/>
      <c r="B14" s="88"/>
      <c r="C14" s="90"/>
      <c r="D14" s="90"/>
      <c r="E14" s="88"/>
      <c r="F14" s="91"/>
      <c r="G14" s="91"/>
      <c r="H14" s="91"/>
      <c r="I14" s="91"/>
      <c r="J14" s="91"/>
      <c r="K14" s="91"/>
      <c r="L14" s="88"/>
      <c r="M14" s="90"/>
    </row>
    <row r="15" spans="1:13" ht="18.75" customHeight="1">
      <c r="A15" s="90"/>
      <c r="B15" s="88"/>
      <c r="C15" s="90"/>
      <c r="D15" s="90"/>
      <c r="E15" s="88"/>
      <c r="F15" s="91"/>
      <c r="G15" s="91"/>
      <c r="H15" s="91"/>
      <c r="I15" s="91"/>
      <c r="J15" s="91"/>
      <c r="K15" s="91"/>
      <c r="L15" s="88"/>
      <c r="M15" s="90"/>
    </row>
    <row r="16" spans="1:13" ht="18.75" customHeight="1">
      <c r="A16" s="90"/>
      <c r="B16" s="88"/>
      <c r="C16" s="90"/>
      <c r="D16" s="90"/>
      <c r="E16" s="88"/>
      <c r="F16" s="91"/>
      <c r="G16" s="91"/>
      <c r="H16" s="91"/>
      <c r="I16" s="91"/>
      <c r="J16" s="91"/>
      <c r="K16" s="91"/>
      <c r="L16" s="88"/>
      <c r="M16" s="90"/>
    </row>
    <row r="17" spans="1:13" ht="18.75" customHeight="1">
      <c r="A17" s="90"/>
      <c r="B17" s="88"/>
      <c r="C17" s="90"/>
      <c r="D17" s="90"/>
      <c r="E17" s="88"/>
      <c r="F17" s="91"/>
      <c r="G17" s="91"/>
      <c r="H17" s="91"/>
      <c r="I17" s="91"/>
      <c r="J17" s="91"/>
      <c r="K17" s="91"/>
      <c r="L17" s="88"/>
      <c r="M17" s="90"/>
    </row>
    <row r="18" spans="1:13" ht="18.75" customHeight="1">
      <c r="A18" s="90"/>
      <c r="B18" s="88"/>
      <c r="C18" s="90"/>
      <c r="D18" s="90"/>
      <c r="E18" s="88"/>
      <c r="F18" s="91"/>
      <c r="G18" s="91"/>
      <c r="H18" s="91"/>
      <c r="I18" s="91"/>
      <c r="J18" s="91"/>
      <c r="K18" s="91"/>
      <c r="L18" s="88"/>
      <c r="M18" s="90"/>
    </row>
    <row r="19" spans="1:13" ht="18.75" customHeight="1">
      <c r="A19" s="90"/>
      <c r="B19" s="88"/>
      <c r="C19" s="90"/>
      <c r="D19" s="90"/>
      <c r="E19" s="88"/>
      <c r="F19" s="91"/>
      <c r="G19" s="91"/>
      <c r="H19" s="91"/>
      <c r="I19" s="91"/>
      <c r="J19" s="91"/>
      <c r="K19" s="91"/>
      <c r="L19" s="88"/>
      <c r="M19" s="90"/>
    </row>
    <row r="20" spans="1:13" ht="18.75" customHeight="1">
      <c r="A20" s="90"/>
      <c r="B20" s="88"/>
      <c r="C20" s="90"/>
      <c r="D20" s="90"/>
      <c r="E20" s="88"/>
      <c r="F20" s="91"/>
      <c r="G20" s="91"/>
      <c r="H20" s="91"/>
      <c r="I20" s="91"/>
      <c r="J20" s="91"/>
      <c r="K20" s="91"/>
      <c r="L20" s="88"/>
      <c r="M20" s="90"/>
    </row>
    <row r="21" spans="1:13" ht="18.75" customHeight="1">
      <c r="A21" s="90"/>
      <c r="B21" s="88"/>
      <c r="C21" s="90"/>
      <c r="D21" s="90"/>
      <c r="E21" s="88"/>
      <c r="F21" s="91"/>
      <c r="G21" s="91"/>
      <c r="H21" s="91"/>
      <c r="I21" s="91"/>
      <c r="J21" s="91"/>
      <c r="K21" s="91"/>
      <c r="L21" s="88"/>
      <c r="M21" s="90"/>
    </row>
    <row r="22" spans="1:13" ht="18.75" customHeight="1">
      <c r="A22" s="90"/>
      <c r="B22" s="88"/>
      <c r="C22" s="90"/>
      <c r="D22" s="90"/>
      <c r="E22" s="88"/>
      <c r="F22" s="91"/>
      <c r="G22" s="91"/>
      <c r="H22" s="91"/>
      <c r="I22" s="91"/>
      <c r="J22" s="91"/>
      <c r="K22" s="91"/>
      <c r="L22" s="88"/>
      <c r="M22" s="90"/>
    </row>
    <row r="23" spans="1:13" ht="18.75" customHeight="1">
      <c r="A23" s="90"/>
      <c r="B23" s="88"/>
      <c r="C23" s="90"/>
      <c r="D23" s="90"/>
      <c r="E23" s="88"/>
      <c r="F23" s="91"/>
      <c r="G23" s="91"/>
      <c r="H23" s="91"/>
      <c r="I23" s="91"/>
      <c r="J23" s="91"/>
      <c r="K23" s="91"/>
      <c r="L23" s="88"/>
      <c r="M23" s="90"/>
    </row>
    <row r="24" spans="1:13" ht="18.75" customHeight="1">
      <c r="A24" s="90"/>
      <c r="B24" s="88"/>
      <c r="C24" s="90"/>
      <c r="D24" s="90"/>
      <c r="E24" s="88"/>
      <c r="F24" s="91"/>
      <c r="G24" s="91"/>
      <c r="H24" s="91"/>
      <c r="I24" s="91"/>
      <c r="J24" s="91"/>
      <c r="K24" s="91"/>
      <c r="L24" s="88"/>
      <c r="M24" s="90"/>
    </row>
  </sheetData>
  <mergeCells count="24">
    <mergeCell ref="A2:M2"/>
    <mergeCell ref="B3:M3"/>
    <mergeCell ref="B4:J4"/>
    <mergeCell ref="K4:M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rintOptions horizontalCentered="1"/>
  <pageMargins left="0" right="0" top="0.9055099999999999" bottom="0" header="0.55118" footer="0.3937"/>
  <pageSetup firstPageNumber="7" useFirstPageNumber="1" horizontalDpi="300" verticalDpi="300" orientation="landscape" pageOrder="overThenDown" paperSize="9"/>
  <headerFooter alignWithMargins="0">
    <oddFooter>&amp;L&amp;C&amp;P&amp;R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35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0.00390625" style="0" customWidth="1"/>
    <col min="2" max="2" width="12.8515625" style="0" customWidth="1"/>
    <col min="3" max="3" width="16.7109375" style="0" customWidth="1"/>
    <col min="4" max="4" width="4.8515625" style="0" customWidth="1"/>
    <col min="5" max="5" width="5.00390625" style="0" customWidth="1"/>
    <col min="6" max="6" width="7.8515625" style="0" customWidth="1"/>
    <col min="7" max="7" width="9.28125" style="0" customWidth="1"/>
    <col min="8" max="8" width="10.7109375" style="0" customWidth="1"/>
    <col min="9" max="9" width="7.57421875" style="0" customWidth="1"/>
    <col min="10" max="10" width="7.140625" style="0" customWidth="1"/>
    <col min="11" max="11" width="11.00390625" style="0" customWidth="1"/>
  </cols>
  <sheetData>
    <row r="1" spans="1:10" ht="7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6.25" customHeight="1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 customHeight="1">
      <c r="A3" s="115" t="s">
        <v>24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 customHeight="1">
      <c r="A4" s="115" t="s">
        <v>25</v>
      </c>
      <c r="B4" s="116" t="s">
        <v>26</v>
      </c>
      <c r="C4" s="116"/>
      <c r="D4" s="116"/>
      <c r="E4" s="116"/>
      <c r="F4" s="116"/>
      <c r="G4" s="116"/>
      <c r="H4" s="117" t="s">
        <v>340</v>
      </c>
      <c r="I4" s="117"/>
      <c r="J4" s="117"/>
    </row>
    <row r="5" spans="1:11" ht="26.25" customHeight="1">
      <c r="A5" s="118" t="s">
        <v>28</v>
      </c>
      <c r="B5" s="118" t="s">
        <v>68</v>
      </c>
      <c r="C5" s="118" t="s">
        <v>69</v>
      </c>
      <c r="D5" s="118"/>
      <c r="E5" s="118" t="s">
        <v>70</v>
      </c>
      <c r="F5" s="118" t="s">
        <v>71</v>
      </c>
      <c r="G5" s="118" t="s">
        <v>72</v>
      </c>
      <c r="H5" s="118" t="s">
        <v>73</v>
      </c>
      <c r="I5" s="119" t="s">
        <v>74</v>
      </c>
      <c r="J5" s="118" t="s">
        <v>75</v>
      </c>
    </row>
    <row r="6" spans="1:10" ht="18.75" customHeight="1">
      <c r="A6" s="120" t="s">
        <v>46</v>
      </c>
      <c r="B6" s="118"/>
      <c r="C6" s="120" t="s">
        <v>47</v>
      </c>
      <c r="D6" s="120"/>
      <c r="E6" s="118"/>
      <c r="F6" s="121"/>
      <c r="G6" s="121"/>
      <c r="H6" s="121"/>
      <c r="I6" s="118"/>
      <c r="J6" s="120"/>
    </row>
    <row r="7" spans="1:10" ht="27.75" customHeight="1">
      <c r="A7" s="120" t="s">
        <v>341</v>
      </c>
      <c r="B7" s="118" t="s">
        <v>342</v>
      </c>
      <c r="C7" s="120" t="s">
        <v>343</v>
      </c>
      <c r="D7" s="120"/>
      <c r="E7" s="118" t="s">
        <v>81</v>
      </c>
      <c r="F7" s="121">
        <v>2313</v>
      </c>
      <c r="G7" s="121"/>
      <c r="H7" s="121"/>
      <c r="I7" s="118" t="s">
        <v>123</v>
      </c>
      <c r="J7" s="120"/>
    </row>
    <row r="8" spans="1:10" ht="27.75" customHeight="1">
      <c r="A8" s="120" t="s">
        <v>89</v>
      </c>
      <c r="B8" s="118" t="s">
        <v>345</v>
      </c>
      <c r="C8" s="120" t="s">
        <v>346</v>
      </c>
      <c r="D8" s="120"/>
      <c r="E8" s="118" t="s">
        <v>81</v>
      </c>
      <c r="F8" s="121">
        <v>2313</v>
      </c>
      <c r="G8" s="121"/>
      <c r="H8" s="121"/>
      <c r="I8" s="118" t="s">
        <v>83</v>
      </c>
      <c r="J8" s="120"/>
    </row>
    <row r="9" spans="1:10" ht="18.75" customHeight="1">
      <c r="A9" s="120" t="s">
        <v>49</v>
      </c>
      <c r="B9" s="118"/>
      <c r="C9" s="120" t="s">
        <v>50</v>
      </c>
      <c r="D9" s="120"/>
      <c r="E9" s="118" t="s">
        <v>347</v>
      </c>
      <c r="F9" s="121">
        <v>3.8</v>
      </c>
      <c r="G9" s="121"/>
      <c r="H9" s="121"/>
      <c r="I9" s="118"/>
      <c r="J9" s="120"/>
    </row>
    <row r="10" spans="1:10" ht="27.75" customHeight="1">
      <c r="A10" s="120" t="s">
        <v>52</v>
      </c>
      <c r="B10" s="118"/>
      <c r="C10" s="120" t="s">
        <v>53</v>
      </c>
      <c r="D10" s="120"/>
      <c r="E10" s="118" t="s">
        <v>334</v>
      </c>
      <c r="F10" s="121">
        <v>1.5</v>
      </c>
      <c r="G10" s="121"/>
      <c r="H10" s="121"/>
      <c r="I10" s="118"/>
      <c r="J10" s="120"/>
    </row>
    <row r="11" spans="1:10" ht="18.75" customHeight="1">
      <c r="A11" s="120" t="s">
        <v>55</v>
      </c>
      <c r="B11" s="118"/>
      <c r="C11" s="120" t="s">
        <v>56</v>
      </c>
      <c r="D11" s="120"/>
      <c r="E11" s="118" t="s">
        <v>334</v>
      </c>
      <c r="F11" s="121">
        <v>1</v>
      </c>
      <c r="G11" s="121"/>
      <c r="H11" s="121"/>
      <c r="I11" s="118"/>
      <c r="J11" s="120"/>
    </row>
    <row r="12" spans="1:10" ht="18.75" customHeight="1">
      <c r="A12" s="120"/>
      <c r="B12" s="118"/>
      <c r="C12" s="120"/>
      <c r="D12" s="120"/>
      <c r="E12" s="118"/>
      <c r="F12" s="121"/>
      <c r="G12" s="121"/>
      <c r="H12" s="121"/>
      <c r="I12" s="118"/>
      <c r="J12" s="120"/>
    </row>
    <row r="13" spans="1:10" ht="18.75" customHeight="1">
      <c r="A13" s="120"/>
      <c r="B13" s="118"/>
      <c r="C13" s="120"/>
      <c r="D13" s="120"/>
      <c r="E13" s="118"/>
      <c r="F13" s="121"/>
      <c r="G13" s="121"/>
      <c r="H13" s="121"/>
      <c r="I13" s="118"/>
      <c r="J13" s="120"/>
    </row>
    <row r="14" spans="1:10" ht="18.75" customHeight="1">
      <c r="A14" s="120"/>
      <c r="B14" s="118"/>
      <c r="C14" s="120"/>
      <c r="D14" s="120"/>
      <c r="E14" s="118"/>
      <c r="F14" s="121"/>
      <c r="G14" s="121"/>
      <c r="H14" s="121"/>
      <c r="I14" s="118"/>
      <c r="J14" s="120"/>
    </row>
    <row r="15" spans="1:10" ht="18.75" customHeight="1">
      <c r="A15" s="120"/>
      <c r="B15" s="118"/>
      <c r="C15" s="120"/>
      <c r="D15" s="120"/>
      <c r="E15" s="118"/>
      <c r="F15" s="121"/>
      <c r="G15" s="121"/>
      <c r="H15" s="121"/>
      <c r="I15" s="118"/>
      <c r="J15" s="120"/>
    </row>
    <row r="16" spans="1:10" ht="18.75" customHeight="1">
      <c r="A16" s="120"/>
      <c r="B16" s="118"/>
      <c r="C16" s="120"/>
      <c r="D16" s="120"/>
      <c r="E16" s="118"/>
      <c r="F16" s="121"/>
      <c r="G16" s="121"/>
      <c r="H16" s="121"/>
      <c r="I16" s="118"/>
      <c r="J16" s="120"/>
    </row>
    <row r="17" spans="1:10" ht="18.75" customHeight="1">
      <c r="A17" s="120"/>
      <c r="B17" s="118"/>
      <c r="C17" s="120"/>
      <c r="D17" s="120"/>
      <c r="E17" s="118"/>
      <c r="F17" s="121"/>
      <c r="G17" s="121"/>
      <c r="H17" s="121"/>
      <c r="I17" s="118"/>
      <c r="J17" s="120"/>
    </row>
    <row r="18" spans="1:10" ht="18.75" customHeight="1">
      <c r="A18" s="120"/>
      <c r="B18" s="118"/>
      <c r="C18" s="120"/>
      <c r="D18" s="120"/>
      <c r="E18" s="118"/>
      <c r="F18" s="121"/>
      <c r="G18" s="121"/>
      <c r="H18" s="121"/>
      <c r="I18" s="118"/>
      <c r="J18" s="120"/>
    </row>
    <row r="19" spans="1:10" ht="18.75" customHeight="1">
      <c r="A19" s="120"/>
      <c r="B19" s="118"/>
      <c r="C19" s="120"/>
      <c r="D19" s="120"/>
      <c r="E19" s="118"/>
      <c r="F19" s="121"/>
      <c r="G19" s="121"/>
      <c r="H19" s="121"/>
      <c r="I19" s="118"/>
      <c r="J19" s="120"/>
    </row>
    <row r="20" spans="1:10" ht="18.75" customHeight="1">
      <c r="A20" s="120"/>
      <c r="B20" s="118"/>
      <c r="C20" s="120"/>
      <c r="D20" s="120"/>
      <c r="E20" s="118"/>
      <c r="F20" s="121"/>
      <c r="G20" s="121"/>
      <c r="H20" s="121"/>
      <c r="I20" s="118"/>
      <c r="J20" s="120"/>
    </row>
    <row r="21" spans="1:10" ht="18.75" customHeight="1">
      <c r="A21" s="120"/>
      <c r="B21" s="118"/>
      <c r="C21" s="120"/>
      <c r="D21" s="120"/>
      <c r="E21" s="118"/>
      <c r="F21" s="121"/>
      <c r="G21" s="121"/>
      <c r="H21" s="121"/>
      <c r="I21" s="118"/>
      <c r="J21" s="120"/>
    </row>
    <row r="22" spans="1:10" ht="18.75" customHeight="1">
      <c r="A22" s="120"/>
      <c r="B22" s="118"/>
      <c r="C22" s="120"/>
      <c r="D22" s="120"/>
      <c r="E22" s="118"/>
      <c r="F22" s="121"/>
      <c r="G22" s="121"/>
      <c r="H22" s="121"/>
      <c r="I22" s="118"/>
      <c r="J22" s="120"/>
    </row>
    <row r="23" spans="1:10" ht="18.75" customHeight="1">
      <c r="A23" s="120"/>
      <c r="B23" s="118"/>
      <c r="C23" s="120"/>
      <c r="D23" s="120"/>
      <c r="E23" s="118"/>
      <c r="F23" s="121"/>
      <c r="G23" s="121"/>
      <c r="H23" s="121"/>
      <c r="I23" s="118"/>
      <c r="J23" s="120"/>
    </row>
    <row r="24" spans="1:10" ht="18.75" customHeight="1">
      <c r="A24" s="120"/>
      <c r="B24" s="118"/>
      <c r="C24" s="120"/>
      <c r="D24" s="120"/>
      <c r="E24" s="118"/>
      <c r="F24" s="121"/>
      <c r="G24" s="121"/>
      <c r="H24" s="121"/>
      <c r="I24" s="118"/>
      <c r="J24" s="120"/>
    </row>
    <row r="25" spans="1:10" ht="18.75" customHeight="1">
      <c r="A25" s="120"/>
      <c r="B25" s="118"/>
      <c r="C25" s="120"/>
      <c r="D25" s="120"/>
      <c r="E25" s="118"/>
      <c r="F25" s="121"/>
      <c r="G25" s="121"/>
      <c r="H25" s="121"/>
      <c r="I25" s="118"/>
      <c r="J25" s="120"/>
    </row>
    <row r="26" spans="1:10" ht="18.75" customHeight="1">
      <c r="A26" s="120"/>
      <c r="B26" s="118"/>
      <c r="C26" s="120"/>
      <c r="D26" s="120"/>
      <c r="E26" s="118"/>
      <c r="F26" s="121"/>
      <c r="G26" s="121"/>
      <c r="H26" s="121"/>
      <c r="I26" s="118"/>
      <c r="J26" s="120"/>
    </row>
    <row r="27" spans="1:10" ht="18.75" customHeight="1">
      <c r="A27" s="120"/>
      <c r="B27" s="118"/>
      <c r="C27" s="120"/>
      <c r="D27" s="120"/>
      <c r="E27" s="118"/>
      <c r="F27" s="121"/>
      <c r="G27" s="121"/>
      <c r="H27" s="121"/>
      <c r="I27" s="118"/>
      <c r="J27" s="120"/>
    </row>
    <row r="28" spans="1:10" ht="18.75" customHeight="1">
      <c r="A28" s="120"/>
      <c r="B28" s="118"/>
      <c r="C28" s="120"/>
      <c r="D28" s="120"/>
      <c r="E28" s="118"/>
      <c r="F28" s="121"/>
      <c r="G28" s="121"/>
      <c r="H28" s="121"/>
      <c r="I28" s="118"/>
      <c r="J28" s="120"/>
    </row>
    <row r="29" spans="1:10" ht="18.75" customHeight="1">
      <c r="A29" s="120"/>
      <c r="B29" s="118"/>
      <c r="C29" s="120"/>
      <c r="D29" s="120"/>
      <c r="E29" s="118"/>
      <c r="F29" s="121"/>
      <c r="G29" s="121"/>
      <c r="H29" s="121"/>
      <c r="I29" s="118"/>
      <c r="J29" s="120"/>
    </row>
    <row r="30" spans="1:10" ht="18.75" customHeight="1">
      <c r="A30" s="120"/>
      <c r="B30" s="118"/>
      <c r="C30" s="120"/>
      <c r="D30" s="120"/>
      <c r="E30" s="118"/>
      <c r="F30" s="121"/>
      <c r="G30" s="121"/>
      <c r="H30" s="121"/>
      <c r="I30" s="118"/>
      <c r="J30" s="120"/>
    </row>
    <row r="31" spans="1:10" ht="18.75" customHeight="1">
      <c r="A31" s="120"/>
      <c r="B31" s="118"/>
      <c r="C31" s="120"/>
      <c r="D31" s="120"/>
      <c r="E31" s="118"/>
      <c r="F31" s="121"/>
      <c r="G31" s="121"/>
      <c r="H31" s="121"/>
      <c r="I31" s="118"/>
      <c r="J31" s="120"/>
    </row>
    <row r="32" spans="1:10" ht="18.75" customHeight="1">
      <c r="A32" s="120"/>
      <c r="B32" s="118"/>
      <c r="C32" s="120"/>
      <c r="D32" s="120"/>
      <c r="E32" s="118"/>
      <c r="F32" s="121"/>
      <c r="G32" s="121"/>
      <c r="H32" s="121"/>
      <c r="I32" s="118"/>
      <c r="J32" s="120"/>
    </row>
    <row r="33" spans="1:10" ht="18.75" customHeight="1">
      <c r="A33" s="120"/>
      <c r="B33" s="118"/>
      <c r="C33" s="120"/>
      <c r="D33" s="120"/>
      <c r="E33" s="118"/>
      <c r="F33" s="121"/>
      <c r="G33" s="121"/>
      <c r="H33" s="121"/>
      <c r="I33" s="118"/>
      <c r="J33" s="120"/>
    </row>
    <row r="34" spans="1:10" ht="18.75" customHeight="1">
      <c r="A34" s="120"/>
      <c r="B34" s="118"/>
      <c r="C34" s="120"/>
      <c r="D34" s="120"/>
      <c r="E34" s="118"/>
      <c r="F34" s="121"/>
      <c r="G34" s="121"/>
      <c r="H34" s="121"/>
      <c r="I34" s="118"/>
      <c r="J34" s="120"/>
    </row>
    <row r="35" spans="1:10" ht="18.75" customHeight="1">
      <c r="A35" s="120"/>
      <c r="B35" s="118"/>
      <c r="C35" s="120"/>
      <c r="D35" s="120"/>
      <c r="E35" s="118"/>
      <c r="F35" s="121"/>
      <c r="G35" s="121"/>
      <c r="H35" s="121"/>
      <c r="I35" s="118"/>
      <c r="J35" s="120"/>
    </row>
  </sheetData>
  <mergeCells count="35">
    <mergeCell ref="A2:J2"/>
    <mergeCell ref="B3:J3"/>
    <mergeCell ref="B4:G4"/>
    <mergeCell ref="H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9055099999999999" right="0" top="0.70866" bottom="0" header="0.55118" footer="0.3937"/>
  <pageSetup firstPageNumber="8" useFirstPageNumber="1" horizontalDpi="300" verticalDpi="300" orientation="portrait" pageOrder="overThenDown" paperSize="9"/>
  <headerFooter alignWithMargins="0">
    <oddFooter>&amp;L&amp;C&amp;P&amp;R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37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1.57421875" style="0" customWidth="1"/>
    <col min="2" max="2" width="24.00390625" style="0" customWidth="1"/>
    <col min="3" max="3" width="9.28125" style="0" customWidth="1"/>
    <col min="4" max="4" width="7.140625" style="0" customWidth="1"/>
    <col min="5" max="5" width="15.28125" style="0" customWidth="1"/>
    <col min="6" max="6" width="22.00390625" style="0" customWidth="1"/>
    <col min="7" max="7" width="11.00390625" style="0" customWidth="1"/>
  </cols>
  <sheetData>
    <row r="1" spans="1:6" ht="7.5" customHeight="1">
      <c r="A1" s="143"/>
      <c r="B1" s="143"/>
      <c r="C1" s="143"/>
      <c r="D1" s="143"/>
      <c r="E1" s="143"/>
      <c r="F1" s="143"/>
    </row>
    <row r="2" spans="1:6" ht="26.25" customHeight="1">
      <c r="A2" s="144" t="s">
        <v>349</v>
      </c>
      <c r="B2" s="144"/>
      <c r="C2" s="144"/>
      <c r="D2" s="144"/>
      <c r="E2" s="144"/>
      <c r="F2" s="144"/>
    </row>
    <row r="3" spans="1:6" ht="18.75" customHeight="1">
      <c r="A3" s="145" t="s">
        <v>24</v>
      </c>
      <c r="B3" s="143"/>
      <c r="C3" s="143"/>
      <c r="D3" s="143"/>
      <c r="E3" s="143"/>
      <c r="F3" s="143"/>
    </row>
    <row r="4" spans="1:7" ht="18.75" customHeight="1">
      <c r="A4" s="145" t="s">
        <v>25</v>
      </c>
      <c r="B4" s="146" t="s">
        <v>26</v>
      </c>
      <c r="C4" s="146"/>
      <c r="D4" s="146"/>
      <c r="E4" s="146"/>
      <c r="F4" s="147" t="s">
        <v>27</v>
      </c>
    </row>
    <row r="5" spans="1:7" ht="18.75" customHeight="1">
      <c r="A5" s="148" t="s">
        <v>28</v>
      </c>
      <c r="B5" s="148" t="s">
        <v>69</v>
      </c>
      <c r="C5" s="148"/>
      <c r="D5" s="148"/>
      <c r="E5" s="148" t="s">
        <v>30</v>
      </c>
      <c r="F5" s="148" t="s">
        <v>75</v>
      </c>
    </row>
    <row r="6" spans="1:6" ht="27.75" customHeight="1">
      <c r="A6" s="149" t="s">
        <v>31</v>
      </c>
      <c r="B6" s="149" t="s">
        <v>350</v>
      </c>
      <c r="C6" s="149"/>
      <c r="D6" s="149"/>
      <c r="E6" s="150"/>
      <c r="F6" s="149"/>
    </row>
    <row r="7" spans="1:6" ht="18.75" customHeight="1">
      <c r="A7" s="149" t="s">
        <v>34</v>
      </c>
      <c r="B7" s="149"/>
      <c r="C7" s="149"/>
      <c r="D7" s="149"/>
      <c r="E7" s="150"/>
      <c r="F7" s="149"/>
    </row>
    <row r="8" spans="1:6" ht="18.75" customHeight="1">
      <c r="A8" s="149" t="s">
        <v>37</v>
      </c>
      <c r="B8" s="149"/>
      <c r="C8" s="149"/>
      <c r="D8" s="149"/>
      <c r="E8" s="150"/>
      <c r="F8" s="149"/>
    </row>
    <row r="9" spans="1:6" ht="18.75" customHeight="1">
      <c r="A9" s="149"/>
      <c r="B9" s="149"/>
      <c r="C9" s="149"/>
      <c r="D9" s="149"/>
      <c r="E9" s="150"/>
      <c r="F9" s="149"/>
    </row>
    <row r="10" spans="1:6" ht="18.75" customHeight="1">
      <c r="A10" s="149"/>
      <c r="B10" s="149"/>
      <c r="C10" s="149"/>
      <c r="D10" s="149"/>
      <c r="E10" s="150"/>
      <c r="F10" s="149"/>
    </row>
    <row r="11" spans="1:6" ht="18.75" customHeight="1">
      <c r="A11" s="149"/>
      <c r="B11" s="149"/>
      <c r="C11" s="149"/>
      <c r="D11" s="149"/>
      <c r="E11" s="150"/>
      <c r="F11" s="149"/>
    </row>
    <row r="12" spans="1:6" ht="18.75" customHeight="1">
      <c r="A12" s="149"/>
      <c r="B12" s="149"/>
      <c r="C12" s="149"/>
      <c r="D12" s="149"/>
      <c r="E12" s="150"/>
      <c r="F12" s="149"/>
    </row>
    <row r="13" spans="1:6" ht="18.75" customHeight="1">
      <c r="A13" s="149"/>
      <c r="B13" s="149"/>
      <c r="C13" s="149"/>
      <c r="D13" s="149"/>
      <c r="E13" s="150"/>
      <c r="F13" s="149"/>
    </row>
    <row r="14" spans="1:6" ht="18.75" customHeight="1">
      <c r="A14" s="149"/>
      <c r="B14" s="149"/>
      <c r="C14" s="149"/>
      <c r="D14" s="149"/>
      <c r="E14" s="150"/>
      <c r="F14" s="149"/>
    </row>
    <row r="15" spans="1:6" ht="18.75" customHeight="1">
      <c r="A15" s="149"/>
      <c r="B15" s="149"/>
      <c r="C15" s="149"/>
      <c r="D15" s="149"/>
      <c r="E15" s="150"/>
      <c r="F15" s="149"/>
    </row>
    <row r="16" spans="1:6" ht="18.75" customHeight="1">
      <c r="A16" s="149"/>
      <c r="B16" s="149"/>
      <c r="C16" s="149"/>
      <c r="D16" s="149"/>
      <c r="E16" s="150"/>
      <c r="F16" s="149"/>
    </row>
    <row r="17" spans="1:6" ht="18.75" customHeight="1">
      <c r="A17" s="149"/>
      <c r="B17" s="149"/>
      <c r="C17" s="149"/>
      <c r="D17" s="149"/>
      <c r="E17" s="150"/>
      <c r="F17" s="149"/>
    </row>
    <row r="18" spans="1:6" ht="18.75" customHeight="1">
      <c r="A18" s="149"/>
      <c r="B18" s="149"/>
      <c r="C18" s="149"/>
      <c r="D18" s="149"/>
      <c r="E18" s="150"/>
      <c r="F18" s="149"/>
    </row>
    <row r="19" spans="1:6" ht="18.75" customHeight="1">
      <c r="A19" s="149"/>
      <c r="B19" s="149"/>
      <c r="C19" s="149"/>
      <c r="D19" s="149"/>
      <c r="E19" s="150"/>
      <c r="F19" s="149"/>
    </row>
    <row r="20" spans="1:6" ht="18.75" customHeight="1">
      <c r="A20" s="149"/>
      <c r="B20" s="149"/>
      <c r="C20" s="149"/>
      <c r="D20" s="149"/>
      <c r="E20" s="150"/>
      <c r="F20" s="149"/>
    </row>
    <row r="21" spans="1:6" ht="18.75" customHeight="1">
      <c r="A21" s="149"/>
      <c r="B21" s="149"/>
      <c r="C21" s="149"/>
      <c r="D21" s="149"/>
      <c r="E21" s="150"/>
      <c r="F21" s="149"/>
    </row>
    <row r="22" spans="1:6" ht="18.75" customHeight="1">
      <c r="A22" s="149"/>
      <c r="B22" s="149"/>
      <c r="C22" s="149"/>
      <c r="D22" s="149"/>
      <c r="E22" s="150"/>
      <c r="F22" s="149"/>
    </row>
    <row r="23" spans="1:6" ht="18.75" customHeight="1">
      <c r="A23" s="149"/>
      <c r="B23" s="149"/>
      <c r="C23" s="149"/>
      <c r="D23" s="149"/>
      <c r="E23" s="150"/>
      <c r="F23" s="149"/>
    </row>
    <row r="24" spans="1:6" ht="18.75" customHeight="1">
      <c r="A24" s="149"/>
      <c r="B24" s="149"/>
      <c r="C24" s="149"/>
      <c r="D24" s="149"/>
      <c r="E24" s="150"/>
      <c r="F24" s="149"/>
    </row>
    <row r="25" spans="1:6" ht="18.75" customHeight="1">
      <c r="A25" s="149"/>
      <c r="B25" s="149"/>
      <c r="C25" s="149"/>
      <c r="D25" s="149"/>
      <c r="E25" s="150"/>
      <c r="F25" s="149"/>
    </row>
    <row r="26" spans="1:6" ht="18.75" customHeight="1">
      <c r="A26" s="149"/>
      <c r="B26" s="149"/>
      <c r="C26" s="149"/>
      <c r="D26" s="149"/>
      <c r="E26" s="150"/>
      <c r="F26" s="149"/>
    </row>
    <row r="27" spans="1:6" ht="18.75" customHeight="1">
      <c r="A27" s="149"/>
      <c r="B27" s="149"/>
      <c r="C27" s="149"/>
      <c r="D27" s="149"/>
      <c r="E27" s="150"/>
      <c r="F27" s="149"/>
    </row>
    <row r="28" spans="1:6" ht="18.75" customHeight="1">
      <c r="A28" s="149"/>
      <c r="B28" s="149"/>
      <c r="C28" s="149"/>
      <c r="D28" s="149"/>
      <c r="E28" s="150"/>
      <c r="F28" s="149"/>
    </row>
    <row r="29" spans="1:6" ht="18.75" customHeight="1">
      <c r="A29" s="149"/>
      <c r="B29" s="149"/>
      <c r="C29" s="149"/>
      <c r="D29" s="149"/>
      <c r="E29" s="150"/>
      <c r="F29" s="149"/>
    </row>
    <row r="30" spans="1:6" ht="18.75" customHeight="1">
      <c r="A30" s="149"/>
      <c r="B30" s="149"/>
      <c r="C30" s="149"/>
      <c r="D30" s="149"/>
      <c r="E30" s="150"/>
      <c r="F30" s="149"/>
    </row>
    <row r="31" spans="1:6" ht="18.75" customHeight="1">
      <c r="A31" s="149"/>
      <c r="B31" s="149"/>
      <c r="C31" s="149"/>
      <c r="D31" s="149"/>
      <c r="E31" s="150"/>
      <c r="F31" s="149"/>
    </row>
    <row r="32" spans="1:6" ht="18.75" customHeight="1">
      <c r="A32" s="149"/>
      <c r="B32" s="149"/>
      <c r="C32" s="149"/>
      <c r="D32" s="149"/>
      <c r="E32" s="150"/>
      <c r="F32" s="149"/>
    </row>
    <row r="33" spans="1:6" ht="18.75" customHeight="1">
      <c r="A33" s="149"/>
      <c r="B33" s="149"/>
      <c r="C33" s="149"/>
      <c r="D33" s="149"/>
      <c r="E33" s="150"/>
      <c r="F33" s="149"/>
    </row>
    <row r="34" spans="1:6" ht="18.75" customHeight="1">
      <c r="A34" s="149"/>
      <c r="B34" s="149"/>
      <c r="C34" s="149"/>
      <c r="D34" s="149"/>
      <c r="E34" s="150"/>
      <c r="F34" s="149"/>
    </row>
    <row r="35" spans="1:6" ht="18.75" customHeight="1">
      <c r="A35" s="149"/>
      <c r="B35" s="149"/>
      <c r="C35" s="149"/>
      <c r="D35" s="149"/>
      <c r="E35" s="150"/>
      <c r="F35" s="149"/>
    </row>
    <row r="36" spans="1:6" ht="18.75" customHeight="1">
      <c r="A36" s="149"/>
      <c r="B36" s="149"/>
      <c r="C36" s="149"/>
      <c r="D36" s="149"/>
      <c r="E36" s="150"/>
      <c r="F36" s="149"/>
    </row>
    <row r="37" spans="1:6" ht="18.75" customHeight="1">
      <c r="A37" s="149"/>
      <c r="B37" s="149"/>
      <c r="C37" s="149"/>
      <c r="D37" s="149"/>
      <c r="E37" s="150"/>
      <c r="F37" s="149"/>
    </row>
  </sheetData>
  <mergeCells count="36">
    <mergeCell ref="A2:F2"/>
    <mergeCell ref="B3:F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9055099999999999" right="0" top="0.70866" bottom="0" header="0.55118" footer="0.3937"/>
  <pageSetup firstPageNumber="9" useFirstPageNumber="1" horizontalDpi="300" verticalDpi="300" orientation="portrait" pageOrder="overThenDown" paperSize="9"/>
  <headerFooter alignWithMargins="0">
    <oddFooter>&amp;L&amp;C&amp;P&amp;R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37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11.57421875" style="0" customWidth="1"/>
    <col min="2" max="2" width="24.7109375" style="0" customWidth="1"/>
    <col min="3" max="3" width="9.28125" style="0" customWidth="1"/>
    <col min="4" max="4" width="6.57421875" style="0" customWidth="1"/>
    <col min="5" max="5" width="15.140625" style="0" customWidth="1"/>
    <col min="6" max="6" width="22.00390625" style="0" customWidth="1"/>
    <col min="7" max="7" width="11.00390625" style="0" customWidth="1"/>
  </cols>
  <sheetData>
    <row r="1" spans="1:6" ht="7.5" customHeight="1">
      <c r="A1" s="172"/>
      <c r="B1" s="172"/>
      <c r="C1" s="172"/>
      <c r="D1" s="172"/>
      <c r="E1" s="172"/>
      <c r="F1" s="172"/>
    </row>
    <row r="2" spans="1:6" ht="26.25" customHeight="1">
      <c r="A2" s="173" t="s">
        <v>351</v>
      </c>
      <c r="B2" s="173"/>
      <c r="C2" s="173"/>
      <c r="D2" s="173"/>
      <c r="E2" s="173"/>
      <c r="F2" s="173"/>
    </row>
    <row r="3" spans="1:6" ht="18.75" customHeight="1">
      <c r="A3" s="174" t="s">
        <v>24</v>
      </c>
      <c r="B3" s="172"/>
      <c r="C3" s="172"/>
      <c r="D3" s="172"/>
      <c r="E3" s="172"/>
      <c r="F3" s="172"/>
    </row>
    <row r="4" spans="1:7" ht="18.75" customHeight="1">
      <c r="A4" s="174" t="s">
        <v>25</v>
      </c>
      <c r="B4" s="175" t="s">
        <v>26</v>
      </c>
      <c r="C4" s="175"/>
      <c r="D4" s="175"/>
      <c r="E4" s="175"/>
      <c r="F4" s="176" t="s">
        <v>27</v>
      </c>
    </row>
    <row r="5" spans="1:7" ht="18.75" customHeight="1">
      <c r="A5" s="177" t="s">
        <v>28</v>
      </c>
      <c r="B5" s="177" t="s">
        <v>69</v>
      </c>
      <c r="C5" s="177"/>
      <c r="D5" s="177"/>
      <c r="E5" s="177" t="s">
        <v>30</v>
      </c>
      <c r="F5" s="177" t="s">
        <v>75</v>
      </c>
    </row>
    <row r="6" spans="1:6" ht="18.75" customHeight="1">
      <c r="A6" s="178" t="s">
        <v>31</v>
      </c>
      <c r="B6" s="178"/>
      <c r="C6" s="178"/>
      <c r="D6" s="178"/>
      <c r="E6" s="179"/>
      <c r="F6" s="178"/>
    </row>
    <row r="7" spans="1:6" ht="18.75" customHeight="1">
      <c r="A7" s="178" t="s">
        <v>34</v>
      </c>
      <c r="B7" s="178"/>
      <c r="C7" s="178"/>
      <c r="D7" s="178"/>
      <c r="E7" s="179"/>
      <c r="F7" s="178"/>
    </row>
    <row r="8" spans="1:6" ht="18.75" customHeight="1">
      <c r="A8" s="178" t="s">
        <v>37</v>
      </c>
      <c r="B8" s="178"/>
      <c r="C8" s="178"/>
      <c r="D8" s="178"/>
      <c r="E8" s="179"/>
      <c r="F8" s="178"/>
    </row>
    <row r="9" spans="1:6" ht="18.75" customHeight="1">
      <c r="A9" s="178"/>
      <c r="B9" s="178"/>
      <c r="C9" s="178"/>
      <c r="D9" s="178"/>
      <c r="E9" s="179"/>
      <c r="F9" s="178"/>
    </row>
    <row r="10" spans="1:6" ht="18.75" customHeight="1">
      <c r="A10" s="178"/>
      <c r="B10" s="178"/>
      <c r="C10" s="178"/>
      <c r="D10" s="178"/>
      <c r="E10" s="179"/>
      <c r="F10" s="178"/>
    </row>
    <row r="11" spans="1:6" ht="18.75" customHeight="1">
      <c r="A11" s="178"/>
      <c r="B11" s="178"/>
      <c r="C11" s="178"/>
      <c r="D11" s="178"/>
      <c r="E11" s="179"/>
      <c r="F11" s="178"/>
    </row>
    <row r="12" spans="1:6" ht="18.75" customHeight="1">
      <c r="A12" s="178"/>
      <c r="B12" s="178"/>
      <c r="C12" s="178"/>
      <c r="D12" s="178"/>
      <c r="E12" s="179"/>
      <c r="F12" s="178"/>
    </row>
    <row r="13" spans="1:6" ht="18.75" customHeight="1">
      <c r="A13" s="178"/>
      <c r="B13" s="178"/>
      <c r="C13" s="178"/>
      <c r="D13" s="178"/>
      <c r="E13" s="179"/>
      <c r="F13" s="178"/>
    </row>
    <row r="14" spans="1:6" ht="18.75" customHeight="1">
      <c r="A14" s="178"/>
      <c r="B14" s="178"/>
      <c r="C14" s="178"/>
      <c r="D14" s="178"/>
      <c r="E14" s="179"/>
      <c r="F14" s="178"/>
    </row>
    <row r="15" spans="1:6" ht="18.75" customHeight="1">
      <c r="A15" s="178"/>
      <c r="B15" s="178"/>
      <c r="C15" s="178"/>
      <c r="D15" s="178"/>
      <c r="E15" s="179"/>
      <c r="F15" s="178"/>
    </row>
    <row r="16" spans="1:6" ht="18.75" customHeight="1">
      <c r="A16" s="178"/>
      <c r="B16" s="178"/>
      <c r="C16" s="178"/>
      <c r="D16" s="178"/>
      <c r="E16" s="179"/>
      <c r="F16" s="178"/>
    </row>
    <row r="17" spans="1:6" ht="18.75" customHeight="1">
      <c r="A17" s="178"/>
      <c r="B17" s="178"/>
      <c r="C17" s="178"/>
      <c r="D17" s="178"/>
      <c r="E17" s="179"/>
      <c r="F17" s="178"/>
    </row>
    <row r="18" spans="1:6" ht="18.75" customHeight="1">
      <c r="A18" s="178"/>
      <c r="B18" s="178"/>
      <c r="C18" s="178"/>
      <c r="D18" s="178"/>
      <c r="E18" s="179"/>
      <c r="F18" s="178"/>
    </row>
    <row r="19" spans="1:6" ht="18.75" customHeight="1">
      <c r="A19" s="178"/>
      <c r="B19" s="178"/>
      <c r="C19" s="178"/>
      <c r="D19" s="178"/>
      <c r="E19" s="179"/>
      <c r="F19" s="178"/>
    </row>
    <row r="20" spans="1:6" ht="18.75" customHeight="1">
      <c r="A20" s="178"/>
      <c r="B20" s="178"/>
      <c r="C20" s="178"/>
      <c r="D20" s="178"/>
      <c r="E20" s="179"/>
      <c r="F20" s="178"/>
    </row>
    <row r="21" spans="1:6" ht="18.75" customHeight="1">
      <c r="A21" s="178"/>
      <c r="B21" s="178"/>
      <c r="C21" s="178"/>
      <c r="D21" s="178"/>
      <c r="E21" s="179"/>
      <c r="F21" s="178"/>
    </row>
    <row r="22" spans="1:6" ht="18.75" customHeight="1">
      <c r="A22" s="178"/>
      <c r="B22" s="178"/>
      <c r="C22" s="178"/>
      <c r="D22" s="178"/>
      <c r="E22" s="179"/>
      <c r="F22" s="178"/>
    </row>
    <row r="23" spans="1:6" ht="18.75" customHeight="1">
      <c r="A23" s="178"/>
      <c r="B23" s="178"/>
      <c r="C23" s="178"/>
      <c r="D23" s="178"/>
      <c r="E23" s="179"/>
      <c r="F23" s="178"/>
    </row>
    <row r="24" spans="1:6" ht="18.75" customHeight="1">
      <c r="A24" s="178"/>
      <c r="B24" s="178"/>
      <c r="C24" s="178"/>
      <c r="D24" s="178"/>
      <c r="E24" s="179"/>
      <c r="F24" s="178"/>
    </row>
    <row r="25" spans="1:6" ht="18.75" customHeight="1">
      <c r="A25" s="178"/>
      <c r="B25" s="178"/>
      <c r="C25" s="178"/>
      <c r="D25" s="178"/>
      <c r="E25" s="179"/>
      <c r="F25" s="178"/>
    </row>
    <row r="26" spans="1:6" ht="18.75" customHeight="1">
      <c r="A26" s="178"/>
      <c r="B26" s="178"/>
      <c r="C26" s="178"/>
      <c r="D26" s="178"/>
      <c r="E26" s="179"/>
      <c r="F26" s="178"/>
    </row>
    <row r="27" spans="1:6" ht="18.75" customHeight="1">
      <c r="A27" s="178"/>
      <c r="B27" s="178"/>
      <c r="C27" s="178"/>
      <c r="D27" s="178"/>
      <c r="E27" s="179"/>
      <c r="F27" s="178"/>
    </row>
    <row r="28" spans="1:6" ht="18.75" customHeight="1">
      <c r="A28" s="178"/>
      <c r="B28" s="178"/>
      <c r="C28" s="178"/>
      <c r="D28" s="178"/>
      <c r="E28" s="179"/>
      <c r="F28" s="178"/>
    </row>
    <row r="29" spans="1:6" ht="18.75" customHeight="1">
      <c r="A29" s="178"/>
      <c r="B29" s="178"/>
      <c r="C29" s="178"/>
      <c r="D29" s="178"/>
      <c r="E29" s="179"/>
      <c r="F29" s="178"/>
    </row>
    <row r="30" spans="1:6" ht="18.75" customHeight="1">
      <c r="A30" s="178"/>
      <c r="B30" s="178"/>
      <c r="C30" s="178"/>
      <c r="D30" s="178"/>
      <c r="E30" s="179"/>
      <c r="F30" s="178"/>
    </row>
    <row r="31" spans="1:6" ht="18.75" customHeight="1">
      <c r="A31" s="178"/>
      <c r="B31" s="178"/>
      <c r="C31" s="178"/>
      <c r="D31" s="178"/>
      <c r="E31" s="179"/>
      <c r="F31" s="178"/>
    </row>
    <row r="32" spans="1:6" ht="18.75" customHeight="1">
      <c r="A32" s="178"/>
      <c r="B32" s="178"/>
      <c r="C32" s="178"/>
      <c r="D32" s="178"/>
      <c r="E32" s="179"/>
      <c r="F32" s="178"/>
    </row>
    <row r="33" spans="1:6" ht="18.75" customHeight="1">
      <c r="A33" s="178"/>
      <c r="B33" s="178"/>
      <c r="C33" s="178"/>
      <c r="D33" s="178"/>
      <c r="E33" s="179"/>
      <c r="F33" s="178"/>
    </row>
    <row r="34" spans="1:6" ht="18.75" customHeight="1">
      <c r="A34" s="178"/>
      <c r="B34" s="178"/>
      <c r="C34" s="178"/>
      <c r="D34" s="178"/>
      <c r="E34" s="179"/>
      <c r="F34" s="178"/>
    </row>
    <row r="35" spans="1:6" ht="18.75" customHeight="1">
      <c r="A35" s="178"/>
      <c r="B35" s="178"/>
      <c r="C35" s="178"/>
      <c r="D35" s="178"/>
      <c r="E35" s="179"/>
      <c r="F35" s="178"/>
    </row>
    <row r="36" spans="1:6" ht="18.75" customHeight="1">
      <c r="A36" s="178"/>
      <c r="B36" s="178"/>
      <c r="C36" s="178"/>
      <c r="D36" s="178"/>
      <c r="E36" s="179"/>
      <c r="F36" s="178"/>
    </row>
    <row r="37" spans="1:6" ht="18.75" customHeight="1">
      <c r="A37" s="178"/>
      <c r="B37" s="178"/>
      <c r="C37" s="178"/>
      <c r="D37" s="178"/>
      <c r="E37" s="179"/>
      <c r="F37" s="178"/>
    </row>
  </sheetData>
  <mergeCells count="36">
    <mergeCell ref="A2:F2"/>
    <mergeCell ref="B3:F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9055099999999999" right="0" top="0.70866" bottom="0" header="0.55118" footer="0.3937"/>
  <pageSetup firstPageNumber="10" useFirstPageNumber="1" horizontalDpi="300" verticalDpi="300" orientation="portrait" pageOrder="overThenDown" paperSize="9"/>
  <headerFooter alignWithMargins="0">
    <oddFooter>&amp;L&amp;C&amp;P&amp;R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134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8.57421875" style="0" customWidth="1"/>
    <col min="2" max="2" width="11.421875" style="0" customWidth="1"/>
    <col min="3" max="3" width="25.140625" style="0" customWidth="1"/>
    <col min="4" max="4" width="4.28125" style="0" customWidth="1"/>
    <col min="5" max="7" width="7.421875" style="0" customWidth="1"/>
    <col min="8" max="10" width="6.140625" style="0" customWidth="1"/>
    <col min="11" max="11" width="7.7109375" style="0" customWidth="1"/>
    <col min="12" max="12" width="6.8515625" style="0" customWidth="1"/>
    <col min="13" max="13" width="7.421875" style="0" customWidth="1"/>
    <col min="14" max="14" width="5.57421875" style="0" customWidth="1"/>
    <col min="15" max="15" width="6.57421875" style="0" customWidth="1"/>
    <col min="16" max="16" width="7.421875" style="0" customWidth="1"/>
    <col min="17" max="17" width="11.00390625" style="0" customWidth="1"/>
  </cols>
  <sheetData>
    <row r="1" spans="1:16" ht="7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26.25" customHeight="1">
      <c r="A2" s="202" t="s">
        <v>352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customHeight="1">
      <c r="A3" s="203" t="s">
        <v>24</v>
      </c>
      <c r="B3" s="203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8.75" customHeight="1">
      <c r="A4" s="203" t="s">
        <v>25</v>
      </c>
      <c r="B4" s="203"/>
      <c r="C4" s="204" t="s">
        <v>26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 t="s">
        <v>67</v>
      </c>
      <c r="O4" s="205"/>
      <c r="P4" s="205"/>
    </row>
    <row r="5" spans="1:17" ht="37.5" customHeight="1">
      <c r="A5" s="206" t="s">
        <v>28</v>
      </c>
      <c r="B5" s="206" t="s">
        <v>68</v>
      </c>
      <c r="C5" s="206" t="s">
        <v>69</v>
      </c>
      <c r="D5" s="206" t="s">
        <v>70</v>
      </c>
      <c r="E5" s="206" t="s">
        <v>353</v>
      </c>
      <c r="F5" s="206" t="s">
        <v>354</v>
      </c>
      <c r="G5" s="206" t="s">
        <v>355</v>
      </c>
      <c r="H5" s="206" t="s">
        <v>356</v>
      </c>
      <c r="I5" s="206" t="s">
        <v>357</v>
      </c>
      <c r="J5" s="206" t="s">
        <v>358</v>
      </c>
      <c r="K5" s="206" t="s">
        <v>359</v>
      </c>
      <c r="L5" s="206" t="s">
        <v>360</v>
      </c>
      <c r="M5" s="206" t="s">
        <v>361</v>
      </c>
      <c r="N5" s="206" t="s">
        <v>362</v>
      </c>
      <c r="O5" s="206" t="s">
        <v>363</v>
      </c>
      <c r="P5" s="206" t="s">
        <v>64</v>
      </c>
    </row>
    <row r="6" spans="1:16" ht="18.75" customHeight="1">
      <c r="A6" s="207" t="s">
        <v>31</v>
      </c>
      <c r="B6" s="206"/>
      <c r="C6" s="207" t="s">
        <v>32</v>
      </c>
      <c r="D6" s="206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ht="18.75" customHeight="1">
      <c r="A7" s="207" t="s">
        <v>76</v>
      </c>
      <c r="B7" s="206"/>
      <c r="C7" s="207" t="s">
        <v>77</v>
      </c>
      <c r="D7" s="206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7" ht="18.75" customHeight="1">
      <c r="A8" s="207" t="s">
        <v>78</v>
      </c>
      <c r="B8" s="206" t="s">
        <v>79</v>
      </c>
      <c r="C8" s="207" t="s">
        <v>80</v>
      </c>
      <c r="D8" s="206" t="s">
        <v>81</v>
      </c>
      <c r="E8" s="379">
        <f>ROUND('工程单价计算表'!K82/100,2)</f>
        <v>0</v>
      </c>
      <c r="F8" s="379">
        <f>ROUND('工程单价计算表'!K84/100,2)</f>
        <v>0</v>
      </c>
      <c r="G8" s="379">
        <f>ROUND('工程单价计算表'!K86/100,2)</f>
        <v>0</v>
      </c>
      <c r="H8" s="379">
        <f>ROUND('工程单价计算表'!K88/100,2)</f>
        <v>0</v>
      </c>
      <c r="I8" s="379">
        <f>ROUND('工程单价计算表'!K89/100,2)</f>
        <v>0</v>
      </c>
      <c r="J8" s="379">
        <f>ROUND('工程单价计算表'!K90/100,2)</f>
        <v>0</v>
      </c>
      <c r="K8" s="379">
        <f>ROUND('工程单价计算表'!K91/100,2)</f>
        <v>0</v>
      </c>
      <c r="L8" s="379">
        <f>ROUND('工程单价计算表'!K92/100,2)</f>
        <v>0</v>
      </c>
      <c r="M8" s="379">
        <f>ROUND('工程单价计算表'!K93/100,2)</f>
        <v>0</v>
      </c>
      <c r="N8" s="379">
        <f>ROUND('工程单价计算表'!K97/100,2)</f>
        <v>0</v>
      </c>
      <c r="O8" s="379">
        <f>ROUND('工程单价计算表'!K98/100,2)</f>
        <v>0</v>
      </c>
      <c r="P8" s="379">
        <f>'工程单价计算表'!K100</f>
        <v>0</v>
      </c>
    </row>
    <row r="9" spans="1:17" ht="18.75" customHeight="1">
      <c r="A9" s="207" t="s">
        <v>84</v>
      </c>
      <c r="B9" s="206" t="s">
        <v>85</v>
      </c>
      <c r="C9" s="207" t="s">
        <v>86</v>
      </c>
      <c r="D9" s="206" t="s">
        <v>87</v>
      </c>
      <c r="E9" s="379">
        <f>ROUND('工程单价计算表'!K45/100,2)</f>
        <v>0</v>
      </c>
      <c r="F9" s="379">
        <f>ROUND('工程单价计算表'!K47/100,2)</f>
        <v>0</v>
      </c>
      <c r="G9" s="379">
        <f>ROUND('工程单价计算表'!K49/100,2)</f>
        <v>0</v>
      </c>
      <c r="H9" s="379">
        <f>ROUND('工程单价计算表'!K50/100,2)</f>
        <v>0</v>
      </c>
      <c r="I9" s="379">
        <f>ROUND('工程单价计算表'!K51/100,2)</f>
        <v>0</v>
      </c>
      <c r="J9" s="379">
        <f>ROUND('工程单价计算表'!K52/100,2)</f>
        <v>0</v>
      </c>
      <c r="K9" s="379">
        <f>ROUND('工程单价计算表'!K53/100,2)</f>
        <v>0</v>
      </c>
      <c r="L9" s="379">
        <f>ROUND('工程单价计算表'!K54/100,2)</f>
        <v>0</v>
      </c>
      <c r="M9" s="379">
        <f>ROUND('工程单价计算表'!K55/100,2)</f>
        <v>0</v>
      </c>
      <c r="N9" s="379">
        <f>ROUND('工程单价计算表'!K57/100,2)</f>
        <v>0</v>
      </c>
      <c r="O9" s="379">
        <f>ROUND('工程单价计算表'!K58/100,2)</f>
        <v>0</v>
      </c>
      <c r="P9" s="379">
        <f>'工程单价计算表'!K60</f>
        <v>0</v>
      </c>
    </row>
    <row r="10" spans="1:17" ht="18.75" customHeight="1">
      <c r="A10" s="207" t="s">
        <v>90</v>
      </c>
      <c r="B10" s="206" t="s">
        <v>91</v>
      </c>
      <c r="C10" s="207" t="s">
        <v>92</v>
      </c>
      <c r="D10" s="206" t="s">
        <v>81</v>
      </c>
      <c r="E10" s="379">
        <f>ROUND('工程单价计算表'!K1272/100,2)</f>
        <v>0</v>
      </c>
      <c r="F10" s="379">
        <f>ROUND('工程单价计算表'!K1274/100,2)</f>
        <v>0</v>
      </c>
      <c r="G10" s="379">
        <f>ROUND('工程单价计算表'!K1276/100,2)</f>
        <v>0</v>
      </c>
      <c r="H10" s="379">
        <f>ROUND('工程单价计算表'!K1281/100,2)</f>
        <v>0</v>
      </c>
      <c r="I10" s="379">
        <f>ROUND('工程单价计算表'!K1282/100,2)</f>
        <v>0</v>
      </c>
      <c r="J10" s="379">
        <f>ROUND('工程单价计算表'!K1283/100,2)</f>
        <v>0</v>
      </c>
      <c r="K10" s="379">
        <f>ROUND('工程单价计算表'!K1284/100,2)</f>
        <v>0</v>
      </c>
      <c r="L10" s="379">
        <f>ROUND('工程单价计算表'!K1285/100,2)</f>
        <v>0</v>
      </c>
      <c r="M10" s="379">
        <f>ROUND('工程单价计算表'!K1286/100,2)</f>
        <v>0</v>
      </c>
      <c r="N10" s="379">
        <f>ROUND('工程单价计算表'!K1290/100,2)</f>
        <v>0</v>
      </c>
      <c r="O10" s="379">
        <f>ROUND('工程单价计算表'!K1291/100,2)</f>
        <v>0</v>
      </c>
      <c r="P10" s="379">
        <f>'工程单价计算表'!K1293</f>
        <v>0</v>
      </c>
    </row>
    <row r="11" spans="1:17" ht="24.75" customHeight="1">
      <c r="A11" s="207" t="s">
        <v>94</v>
      </c>
      <c r="B11" s="206" t="s">
        <v>95</v>
      </c>
      <c r="C11" s="207" t="s">
        <v>96</v>
      </c>
      <c r="D11" s="206" t="s">
        <v>97</v>
      </c>
      <c r="E11" s="379">
        <f>ROUND('工程单价计算表'!K193/100,2)</f>
        <v>0</v>
      </c>
      <c r="F11" s="379">
        <f>ROUND('工程单价计算表'!K196/100,2)</f>
        <v>0</v>
      </c>
      <c r="G11" s="379">
        <f>ROUND('工程单价计算表'!K199/100,2)</f>
        <v>0</v>
      </c>
      <c r="H11" s="379">
        <f>ROUND('工程单价计算表'!K207/100,2)</f>
        <v>0</v>
      </c>
      <c r="I11" s="379">
        <f>ROUND('工程单价计算表'!K208/100,2)</f>
        <v>0</v>
      </c>
      <c r="J11" s="379">
        <f>ROUND('工程单价计算表'!K209/100,2)</f>
        <v>0</v>
      </c>
      <c r="K11" s="379">
        <f>ROUND('工程单价计算表'!K210/100,2)</f>
        <v>0</v>
      </c>
      <c r="L11" s="379">
        <f>ROUND('工程单价计算表'!K211/100,2)</f>
        <v>0</v>
      </c>
      <c r="M11" s="379">
        <f>ROUND('工程单价计算表'!K212/100,2)</f>
        <v>0</v>
      </c>
      <c r="N11" s="379">
        <f>ROUND('工程单价计算表'!K216/100,2)</f>
        <v>0</v>
      </c>
      <c r="O11" s="379">
        <f>ROUND('工程单价计算表'!K217/100,2)</f>
        <v>0</v>
      </c>
      <c r="P11" s="379">
        <f>'工程单价计算表'!K219</f>
        <v>0</v>
      </c>
    </row>
    <row r="12" spans="1:17" ht="24.75" customHeight="1">
      <c r="A12" s="207" t="s">
        <v>100</v>
      </c>
      <c r="B12" s="206" t="s">
        <v>101</v>
      </c>
      <c r="C12" s="207" t="s">
        <v>102</v>
      </c>
      <c r="D12" s="206" t="s">
        <v>103</v>
      </c>
      <c r="E12" s="379">
        <f>ROUND('工程单价计算表'!K156/100,2)</f>
        <v>0</v>
      </c>
      <c r="F12" s="379">
        <f>ROUND('工程单价计算表'!K158/100,2)</f>
        <v>0</v>
      </c>
      <c r="G12" s="379">
        <f>ROUND('工程单价计算表'!K161/100,2)</f>
        <v>0</v>
      </c>
      <c r="H12" s="379">
        <f>ROUND('工程单价计算表'!K162/100,2)</f>
        <v>0</v>
      </c>
      <c r="I12" s="379">
        <f>ROUND('工程单价计算表'!K163/100,2)</f>
        <v>0</v>
      </c>
      <c r="J12" s="379">
        <f>ROUND('工程单价计算表'!K164/100,2)</f>
        <v>0</v>
      </c>
      <c r="K12" s="379">
        <f>ROUND('工程单价计算表'!K165/100,2)</f>
        <v>0</v>
      </c>
      <c r="L12" s="379">
        <f>ROUND('工程单价计算表'!K166/100,2)</f>
        <v>0</v>
      </c>
      <c r="M12" s="379">
        <f>ROUND('工程单价计算表'!K167/100,2)</f>
        <v>0</v>
      </c>
      <c r="N12" s="379">
        <f>ROUND('工程单价计算表'!K170/100,2)</f>
        <v>0</v>
      </c>
      <c r="O12" s="379">
        <f>ROUND('工程单价计算表'!K171/100,2)</f>
        <v>0</v>
      </c>
      <c r="P12" s="379">
        <f>'工程单价计算表'!K173</f>
        <v>0</v>
      </c>
    </row>
    <row r="13" spans="1:17" ht="18.75" customHeight="1">
      <c r="A13" s="207" t="s">
        <v>106</v>
      </c>
      <c r="B13" s="206" t="s">
        <v>107</v>
      </c>
      <c r="C13" s="207" t="s">
        <v>108</v>
      </c>
      <c r="D13" s="206" t="s">
        <v>81</v>
      </c>
      <c r="E13" s="379">
        <f>ROUND('工程单价计算表'!K1419/100,2)</f>
        <v>0</v>
      </c>
      <c r="F13" s="379">
        <f>ROUND('工程单价计算表'!K1424/100,2)</f>
        <v>0</v>
      </c>
      <c r="G13" s="379">
        <f>ROUND('工程单价计算表'!K1433/100,2)</f>
        <v>0</v>
      </c>
      <c r="H13" s="379">
        <f>ROUND('工程单价计算表'!K1451/100,2)</f>
        <v>0</v>
      </c>
      <c r="I13" s="379">
        <f>ROUND('工程单价计算表'!K1452/100,2)</f>
        <v>0</v>
      </c>
      <c r="J13" s="379">
        <f>ROUND('工程单价计算表'!K1453/100,2)</f>
        <v>0</v>
      </c>
      <c r="K13" s="379">
        <f>ROUND('工程单价计算表'!K1454/100,2)</f>
        <v>0</v>
      </c>
      <c r="L13" s="379">
        <f>ROUND('工程单价计算表'!K1455/100,2)</f>
        <v>0</v>
      </c>
      <c r="M13" s="379">
        <f>ROUND('工程单价计算表'!K1456/100,2)</f>
        <v>0</v>
      </c>
      <c r="N13" s="379">
        <f>ROUND('工程单价计算表'!K1462/100,2)</f>
        <v>0</v>
      </c>
      <c r="O13" s="379">
        <f>ROUND('工程单价计算表'!K1463/100,2)</f>
        <v>0</v>
      </c>
      <c r="P13" s="379">
        <f>'工程单价计算表'!K1465</f>
        <v>0</v>
      </c>
    </row>
    <row r="14" spans="1:17" ht="18.75" customHeight="1">
      <c r="A14" s="207" t="s">
        <v>111</v>
      </c>
      <c r="B14" s="206"/>
      <c r="C14" s="207" t="s">
        <v>112</v>
      </c>
      <c r="D14" s="206" t="s">
        <v>113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 t="s">
        <v>419</v>
      </c>
    </row>
    <row r="15" spans="1:17" ht="18.75" customHeight="1">
      <c r="A15" s="207" t="s">
        <v>115</v>
      </c>
      <c r="B15" s="206" t="s">
        <v>116</v>
      </c>
      <c r="C15" s="207" t="s">
        <v>117</v>
      </c>
      <c r="D15" s="206" t="s">
        <v>81</v>
      </c>
      <c r="E15" s="379">
        <f>ROUND('工程单价计算表'!K265/100,2)</f>
        <v>0</v>
      </c>
      <c r="F15" s="379">
        <f>ROUND('工程单价计算表'!K267/100,2)</f>
        <v>0</v>
      </c>
      <c r="G15" s="379">
        <f>ROUND('工程单价计算表'!K271/100,2)</f>
        <v>0</v>
      </c>
      <c r="H15" s="379">
        <f>ROUND('工程单价计算表'!K272/100,2)</f>
        <v>0</v>
      </c>
      <c r="I15" s="379">
        <f>ROUND('工程单价计算表'!K273/100,2)</f>
        <v>0</v>
      </c>
      <c r="J15" s="379">
        <f>ROUND('工程单价计算表'!K274/100,2)</f>
        <v>0</v>
      </c>
      <c r="K15" s="379">
        <f>ROUND('工程单价计算表'!K275/100,2)</f>
        <v>0</v>
      </c>
      <c r="L15" s="379">
        <f>ROUND('工程单价计算表'!K276/100,2)</f>
        <v>0</v>
      </c>
      <c r="M15" s="379">
        <f>ROUND('工程单价计算表'!K277/100,2)</f>
        <v>0</v>
      </c>
      <c r="N15" s="379">
        <f>ROUND('工程单价计算表'!K281/100,2)</f>
        <v>0</v>
      </c>
      <c r="O15" s="379">
        <f>ROUND('工程单价计算表'!K282/100,2)</f>
        <v>0</v>
      </c>
      <c r="P15" s="379">
        <f>'工程单价计算表'!K284</f>
        <v>0</v>
      </c>
    </row>
    <row r="16" spans="1:17" ht="18.75" customHeight="1">
      <c r="A16" s="207" t="s">
        <v>119</v>
      </c>
      <c r="B16" s="206" t="s">
        <v>120</v>
      </c>
      <c r="C16" s="207" t="s">
        <v>121</v>
      </c>
      <c r="D16" s="206" t="s">
        <v>87</v>
      </c>
      <c r="E16" s="379">
        <f>ROUND('工程单价计算表'!K940/100,2)</f>
        <v>0</v>
      </c>
      <c r="F16" s="379">
        <f>ROUND('工程单价计算表'!K942/100,2)</f>
        <v>0</v>
      </c>
      <c r="G16" s="379">
        <f>ROUND('工程单价计算表'!K946/100,2)</f>
        <v>0</v>
      </c>
      <c r="H16" s="379">
        <f>ROUND('工程单价计算表'!K947/100,2)</f>
        <v>0</v>
      </c>
      <c r="I16" s="379">
        <f>ROUND('工程单价计算表'!K948/100,2)</f>
        <v>0</v>
      </c>
      <c r="J16" s="379">
        <f>ROUND('工程单价计算表'!K949/100,2)</f>
        <v>0</v>
      </c>
      <c r="K16" s="379">
        <f>ROUND('工程单价计算表'!K950/100,2)</f>
        <v>0</v>
      </c>
      <c r="L16" s="379">
        <f>ROUND('工程单价计算表'!K951/100,2)</f>
        <v>0</v>
      </c>
      <c r="M16" s="379">
        <f>ROUND('工程单价计算表'!K952/100,2)</f>
        <v>0</v>
      </c>
      <c r="N16" s="379">
        <f>ROUND('工程单价计算表'!K954/100,2)</f>
        <v>0</v>
      </c>
      <c r="O16" s="379">
        <f>ROUND('工程单价计算表'!K955/100,2)</f>
        <v>0</v>
      </c>
      <c r="P16" s="379">
        <f>'工程单价计算表'!K957</f>
        <v>0</v>
      </c>
    </row>
    <row r="17" spans="1:17" ht="24.75" customHeight="1">
      <c r="A17" s="207" t="s">
        <v>124</v>
      </c>
      <c r="B17" s="206" t="s">
        <v>125</v>
      </c>
      <c r="C17" s="207" t="s">
        <v>126</v>
      </c>
      <c r="D17" s="206" t="s">
        <v>97</v>
      </c>
      <c r="E17" s="379">
        <f>ROUND('工程单价计算表'!K229/100,2)</f>
        <v>0</v>
      </c>
      <c r="F17" s="379">
        <f>ROUND('工程单价计算表'!K232/100,2)</f>
        <v>0</v>
      </c>
      <c r="G17" s="379">
        <f>ROUND('工程单价计算表'!K235/100,2)</f>
        <v>0</v>
      </c>
      <c r="H17" s="379">
        <f>ROUND('工程单价计算表'!K239/100,2)</f>
        <v>0</v>
      </c>
      <c r="I17" s="379">
        <f>ROUND('工程单价计算表'!K240/100,2)</f>
        <v>0</v>
      </c>
      <c r="J17" s="379">
        <f>ROUND('工程单价计算表'!K241/100,2)</f>
        <v>0</v>
      </c>
      <c r="K17" s="379">
        <f>ROUND('工程单价计算表'!K242/100,2)</f>
        <v>0</v>
      </c>
      <c r="L17" s="379">
        <f>ROUND('工程单价计算表'!K243/100,2)</f>
        <v>0</v>
      </c>
      <c r="M17" s="379">
        <f>ROUND('工程单价计算表'!K244/100,2)</f>
        <v>0</v>
      </c>
      <c r="N17" s="379">
        <f>ROUND('工程单价计算表'!K248/100,2)</f>
        <v>0</v>
      </c>
      <c r="O17" s="379">
        <f>ROUND('工程单价计算表'!K249/100,2)</f>
        <v>0</v>
      </c>
      <c r="P17" s="379">
        <f>'工程单价计算表'!K251</f>
        <v>0</v>
      </c>
    </row>
    <row r="18" spans="1:17" ht="18.75" customHeight="1">
      <c r="A18" s="207" t="s">
        <v>128</v>
      </c>
      <c r="B18" s="206" t="s">
        <v>129</v>
      </c>
      <c r="C18" s="207" t="s">
        <v>130</v>
      </c>
      <c r="D18" s="206" t="s">
        <v>87</v>
      </c>
      <c r="E18" s="379">
        <f>ROUND('工程单价计算表'!K866/100,2)</f>
        <v>0</v>
      </c>
      <c r="F18" s="379">
        <f>ROUND('工程单价计算表'!K869/100,2)</f>
        <v>0</v>
      </c>
      <c r="G18" s="379">
        <f>ROUND('工程单价计算表'!K880/100,2)</f>
        <v>0</v>
      </c>
      <c r="H18" s="379">
        <f>ROUND('工程单价计算表'!K888/100,2)</f>
        <v>0</v>
      </c>
      <c r="I18" s="379">
        <f>ROUND('工程单价计算表'!K889/100,2)</f>
        <v>0</v>
      </c>
      <c r="J18" s="379">
        <f>ROUND('工程单价计算表'!K890/100,2)</f>
        <v>0</v>
      </c>
      <c r="K18" s="379">
        <f>ROUND('工程单价计算表'!K891/100,2)</f>
        <v>0</v>
      </c>
      <c r="L18" s="379">
        <f>ROUND('工程单价计算表'!K892/100,2)</f>
        <v>0</v>
      </c>
      <c r="M18" s="379">
        <f>ROUND('工程单价计算表'!K893/100,2)</f>
        <v>0</v>
      </c>
      <c r="N18" s="379">
        <f>ROUND('工程单价计算表'!K905/100,2)</f>
        <v>0</v>
      </c>
      <c r="O18" s="379">
        <f>ROUND('工程单价计算表'!K906/100,2)</f>
        <v>0</v>
      </c>
      <c r="P18" s="379">
        <f>'工程单价计算表'!K908</f>
        <v>0</v>
      </c>
    </row>
    <row r="19" spans="1:17" ht="18.75" customHeight="1">
      <c r="A19" s="207" t="s">
        <v>133</v>
      </c>
      <c r="B19" s="206" t="s">
        <v>134</v>
      </c>
      <c r="C19" s="207" t="s">
        <v>135</v>
      </c>
      <c r="D19" s="206" t="s">
        <v>87</v>
      </c>
      <c r="E19" s="379">
        <f>ROUND('工程单价计算表'!K339/100,2)</f>
        <v>0</v>
      </c>
      <c r="F19" s="379">
        <f>ROUND('工程单价计算表'!K341/100,2)</f>
        <v>0</v>
      </c>
      <c r="G19" s="379">
        <f>ROUND('工程单价计算表'!K346/100,2)</f>
        <v>0</v>
      </c>
      <c r="H19" s="379">
        <f>ROUND('工程单价计算表'!K348/100,2)</f>
        <v>0</v>
      </c>
      <c r="I19" s="379">
        <f>ROUND('工程单价计算表'!K349/100,2)</f>
        <v>0</v>
      </c>
      <c r="J19" s="379">
        <f>ROUND('工程单价计算表'!K350/100,2)</f>
        <v>0</v>
      </c>
      <c r="K19" s="379">
        <f>ROUND('工程单价计算表'!K351/100,2)</f>
        <v>0</v>
      </c>
      <c r="L19" s="379">
        <f>ROUND('工程单价计算表'!K352/100,2)</f>
        <v>0</v>
      </c>
      <c r="M19" s="379">
        <f>ROUND('工程单价计算表'!K353/100,2)</f>
        <v>0</v>
      </c>
      <c r="N19" s="379">
        <f>ROUND('工程单价计算表'!K357/100,2)</f>
        <v>0</v>
      </c>
      <c r="O19" s="379">
        <f>ROUND('工程单价计算表'!K358/100,2)</f>
        <v>0</v>
      </c>
      <c r="P19" s="379">
        <f>'工程单价计算表'!K360</f>
        <v>0</v>
      </c>
    </row>
    <row r="20" spans="1:17" ht="24.75" customHeight="1">
      <c r="A20" s="207" t="s">
        <v>138</v>
      </c>
      <c r="B20" s="206" t="s">
        <v>139</v>
      </c>
      <c r="C20" s="207" t="s">
        <v>140</v>
      </c>
      <c r="D20" s="206" t="s">
        <v>81</v>
      </c>
      <c r="E20" s="379">
        <f>ROUND('工程单价计算表'!K721/100,2)</f>
        <v>0</v>
      </c>
      <c r="F20" s="379">
        <f>ROUND('工程单价计算表'!K724/100,2)</f>
        <v>0</v>
      </c>
      <c r="G20" s="379">
        <f>ROUND('工程单价计算表'!K737/100,2)</f>
        <v>0</v>
      </c>
      <c r="H20" s="379">
        <f>ROUND('工程单价计算表'!K746/100,2)</f>
        <v>0</v>
      </c>
      <c r="I20" s="379">
        <f>ROUND('工程单价计算表'!K747/100,2)</f>
        <v>0</v>
      </c>
      <c r="J20" s="379">
        <f>ROUND('工程单价计算表'!K748/100,2)</f>
        <v>0</v>
      </c>
      <c r="K20" s="379">
        <f>ROUND('工程单价计算表'!K755/100,2)</f>
        <v>0</v>
      </c>
      <c r="L20" s="379">
        <f>ROUND('工程单价计算表'!K756/100,2)</f>
        <v>0</v>
      </c>
      <c r="M20" s="379">
        <f>ROUND('工程单价计算表'!K757/100,2)</f>
        <v>0</v>
      </c>
      <c r="N20" s="379">
        <f>ROUND('工程单价计算表'!K767/100,2)</f>
        <v>0</v>
      </c>
      <c r="O20" s="379">
        <f>ROUND('工程单价计算表'!K768/100,2)</f>
        <v>0</v>
      </c>
      <c r="P20" s="379">
        <f>'工程单价计算表'!K770</f>
        <v>0</v>
      </c>
    </row>
    <row r="21" spans="1:17" ht="18.75" customHeight="1">
      <c r="A21" s="207" t="s">
        <v>143</v>
      </c>
      <c r="B21" s="206"/>
      <c r="C21" s="207" t="s">
        <v>144</v>
      </c>
      <c r="D21" s="206" t="s">
        <v>145</v>
      </c>
      <c r="E21" s="379">
        <f>ROUND('工程单价计算表'!K1014/10,2)</f>
        <v>0</v>
      </c>
      <c r="F21" s="379">
        <f>ROUND('工程单价计算表'!K1016/10,2)</f>
        <v>0</v>
      </c>
      <c r="G21" s="379">
        <f>ROUND('工程单价计算表'!K1022/10,2)</f>
        <v>0</v>
      </c>
      <c r="H21" s="379">
        <f>ROUND('工程单价计算表'!K1024/10,2)</f>
        <v>0</v>
      </c>
      <c r="I21" s="379">
        <f>ROUND('工程单价计算表'!K1025/10,2)</f>
        <v>0</v>
      </c>
      <c r="J21" s="379">
        <f>ROUND('工程单价计算表'!K1026/10,2)</f>
        <v>0</v>
      </c>
      <c r="K21" s="379">
        <f>ROUND('工程单价计算表'!K1027/10,2)</f>
        <v>0</v>
      </c>
      <c r="L21" s="379">
        <f>ROUND('工程单价计算表'!K1028/10,2)</f>
        <v>0</v>
      </c>
      <c r="M21" s="379">
        <f>ROUND('工程单价计算表'!K1029/10,2)</f>
        <v>0</v>
      </c>
      <c r="N21" s="379">
        <f>ROUND('工程单价计算表'!K1034/10,2)</f>
        <v>0</v>
      </c>
      <c r="O21" s="379">
        <f>ROUND('工程单价计算表'!K1035/10,2)</f>
        <v>0</v>
      </c>
      <c r="P21" s="379">
        <f>'工程单价计算表'!K1037</f>
        <v>0</v>
      </c>
    </row>
    <row r="22" spans="1:17" ht="18.75" customHeight="1">
      <c r="A22" s="207" t="s">
        <v>146</v>
      </c>
      <c r="B22" s="206" t="s">
        <v>147</v>
      </c>
      <c r="C22" s="207" t="s">
        <v>148</v>
      </c>
      <c r="D22" s="206" t="s">
        <v>149</v>
      </c>
      <c r="E22" s="379">
        <f>'工程单价计算表'!K792</f>
        <v>0</v>
      </c>
      <c r="F22" s="379">
        <f>'工程单价计算表'!K794</f>
        <v>0</v>
      </c>
      <c r="G22" s="379">
        <f>'工程单价计算表'!K799</f>
        <v>0</v>
      </c>
      <c r="H22" s="379">
        <f>'工程单价计算表'!K809</f>
        <v>0</v>
      </c>
      <c r="I22" s="379">
        <f>'工程单价计算表'!K810</f>
        <v>0</v>
      </c>
      <c r="J22" s="379">
        <f>'工程单价计算表'!K811</f>
        <v>0</v>
      </c>
      <c r="K22" s="379">
        <f>'工程单价计算表'!K812</f>
        <v>0</v>
      </c>
      <c r="L22" s="379">
        <f>'工程单价计算表'!K813</f>
        <v>0</v>
      </c>
      <c r="M22" s="379">
        <f>'工程单价计算表'!K814</f>
        <v>0</v>
      </c>
      <c r="N22" s="379">
        <f>'工程单价计算表'!K819</f>
        <v>0</v>
      </c>
      <c r="O22" s="379">
        <f>'工程单价计算表'!K820</f>
        <v>0</v>
      </c>
      <c r="P22" s="379">
        <f>'工程单价计算表'!K828</f>
        <v>0</v>
      </c>
    </row>
    <row r="23" spans="1:16" ht="18.75" customHeight="1">
      <c r="A23" s="207" t="s">
        <v>152</v>
      </c>
      <c r="B23" s="206"/>
      <c r="C23" s="207" t="s">
        <v>153</v>
      </c>
      <c r="D23" s="206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ht="7.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16" ht="26.25" customHeight="1">
      <c r="A25" s="202" t="s">
        <v>352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ht="18.75" customHeight="1">
      <c r="A26" s="203" t="s">
        <v>24</v>
      </c>
      <c r="B26" s="203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1:16" ht="18.75" customHeight="1">
      <c r="A27" s="203" t="s">
        <v>25</v>
      </c>
      <c r="B27" s="203"/>
      <c r="C27" s="204" t="s">
        <v>26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 t="s">
        <v>174</v>
      </c>
      <c r="O27" s="205"/>
      <c r="P27" s="205"/>
    </row>
    <row r="28" spans="1:17" ht="37.5" customHeight="1">
      <c r="A28" s="206" t="s">
        <v>28</v>
      </c>
      <c r="B28" s="206" t="s">
        <v>68</v>
      </c>
      <c r="C28" s="206" t="s">
        <v>69</v>
      </c>
      <c r="D28" s="206" t="s">
        <v>70</v>
      </c>
      <c r="E28" s="206" t="s">
        <v>353</v>
      </c>
      <c r="F28" s="206" t="s">
        <v>354</v>
      </c>
      <c r="G28" s="206" t="s">
        <v>355</v>
      </c>
      <c r="H28" s="206" t="s">
        <v>356</v>
      </c>
      <c r="I28" s="206" t="s">
        <v>357</v>
      </c>
      <c r="J28" s="206" t="s">
        <v>358</v>
      </c>
      <c r="K28" s="206" t="s">
        <v>359</v>
      </c>
      <c r="L28" s="206" t="s">
        <v>360</v>
      </c>
      <c r="M28" s="206" t="s">
        <v>361</v>
      </c>
      <c r="N28" s="206" t="s">
        <v>362</v>
      </c>
      <c r="O28" s="206" t="s">
        <v>363</v>
      </c>
      <c r="P28" s="206" t="s">
        <v>64</v>
      </c>
    </row>
    <row r="29" spans="1:17" ht="18.75" customHeight="1">
      <c r="A29" s="207" t="s">
        <v>154</v>
      </c>
      <c r="B29" s="206" t="s">
        <v>155</v>
      </c>
      <c r="C29" s="207" t="s">
        <v>80</v>
      </c>
      <c r="D29" s="206" t="s">
        <v>81</v>
      </c>
      <c r="E29" s="379">
        <f>ROUND('工程单价计算表'!K82/100,2)</f>
        <v>0</v>
      </c>
      <c r="F29" s="379">
        <f>ROUND('工程单价计算表'!K84/100,2)</f>
        <v>0</v>
      </c>
      <c r="G29" s="379">
        <f>ROUND('工程单价计算表'!K86/100,2)</f>
        <v>0</v>
      </c>
      <c r="H29" s="379">
        <f>ROUND('工程单价计算表'!K88/100,2)</f>
        <v>0</v>
      </c>
      <c r="I29" s="379">
        <f>ROUND('工程单价计算表'!K89/100,2)</f>
        <v>0</v>
      </c>
      <c r="J29" s="379">
        <f>ROUND('工程单价计算表'!K90/100,2)</f>
        <v>0</v>
      </c>
      <c r="K29" s="379">
        <f>ROUND('工程单价计算表'!K91/100,2)</f>
        <v>0</v>
      </c>
      <c r="L29" s="379">
        <f>ROUND('工程单价计算表'!K92/100,2)</f>
        <v>0</v>
      </c>
      <c r="M29" s="379">
        <f>ROUND('工程单价计算表'!K93/100,2)</f>
        <v>0</v>
      </c>
      <c r="N29" s="379">
        <f>ROUND('工程单价计算表'!K97/100,2)</f>
        <v>0</v>
      </c>
      <c r="O29" s="379">
        <f>ROUND('工程单价计算表'!K98/100,2)</f>
        <v>0</v>
      </c>
      <c r="P29" s="379">
        <f>'工程单价计算表'!K100</f>
        <v>0</v>
      </c>
    </row>
    <row r="30" spans="1:17" ht="24.75" customHeight="1">
      <c r="A30" s="207" t="s">
        <v>157</v>
      </c>
      <c r="B30" s="206" t="s">
        <v>158</v>
      </c>
      <c r="C30" s="207" t="s">
        <v>159</v>
      </c>
      <c r="D30" s="206" t="s">
        <v>81</v>
      </c>
      <c r="E30" s="379">
        <f>ROUND('工程单价计算表'!K1382/100,2)</f>
        <v>0</v>
      </c>
      <c r="F30" s="379">
        <f>ROUND('工程单价计算表'!K1384/100,2)</f>
        <v>0</v>
      </c>
      <c r="G30" s="379">
        <f>ROUND('工程单价计算表'!K1386/100,2)</f>
        <v>0</v>
      </c>
      <c r="H30" s="379">
        <f>ROUND('工程单价计算表'!K1391/100,2)</f>
        <v>0</v>
      </c>
      <c r="I30" s="379">
        <f>ROUND('工程单价计算表'!K1392/100,2)</f>
        <v>0</v>
      </c>
      <c r="J30" s="379">
        <f>ROUND('工程单价计算表'!K1393/100,2)</f>
        <v>0</v>
      </c>
      <c r="K30" s="379">
        <f>ROUND('工程单价计算表'!K1394/100,2)</f>
        <v>0</v>
      </c>
      <c r="L30" s="379">
        <f>ROUND('工程单价计算表'!K1395/100,2)</f>
        <v>0</v>
      </c>
      <c r="M30" s="379">
        <f>ROUND('工程单价计算表'!K1396/100,2)</f>
        <v>0</v>
      </c>
      <c r="N30" s="379">
        <f>ROUND('工程单价计算表'!K1400/100,2)</f>
        <v>0</v>
      </c>
      <c r="O30" s="379">
        <f>ROUND('工程单价计算表'!K1401/100,2)</f>
        <v>0</v>
      </c>
      <c r="P30" s="379">
        <f>'工程单价计算表'!K1403</f>
        <v>0</v>
      </c>
    </row>
    <row r="31" spans="1:17" ht="18.75" customHeight="1">
      <c r="A31" s="207" t="s">
        <v>161</v>
      </c>
      <c r="B31" s="206" t="s">
        <v>162</v>
      </c>
      <c r="C31" s="207" t="s">
        <v>86</v>
      </c>
      <c r="D31" s="206" t="s">
        <v>87</v>
      </c>
      <c r="E31" s="379">
        <f>ROUND('工程单价计算表'!K45/100,2)</f>
        <v>0</v>
      </c>
      <c r="F31" s="379">
        <f>ROUND('工程单价计算表'!K47/100,2)</f>
        <v>0</v>
      </c>
      <c r="G31" s="379">
        <f>ROUND('工程单价计算表'!K49/100,2)</f>
        <v>0</v>
      </c>
      <c r="H31" s="379">
        <f>ROUND('工程单价计算表'!K50/100,2)</f>
        <v>0</v>
      </c>
      <c r="I31" s="379">
        <f>ROUND('工程单价计算表'!K51/100,2)</f>
        <v>0</v>
      </c>
      <c r="J31" s="379">
        <f>ROUND('工程单价计算表'!K52/100,2)</f>
        <v>0</v>
      </c>
      <c r="K31" s="379">
        <f>ROUND('工程单价计算表'!K53/100,2)</f>
        <v>0</v>
      </c>
      <c r="L31" s="379">
        <f>ROUND('工程单价计算表'!K54/100,2)</f>
        <v>0</v>
      </c>
      <c r="M31" s="379">
        <f>ROUND('工程单价计算表'!K55/100,2)</f>
        <v>0</v>
      </c>
      <c r="N31" s="379">
        <f>ROUND('工程单价计算表'!K57/100,2)</f>
        <v>0</v>
      </c>
      <c r="O31" s="379">
        <f>ROUND('工程单价计算表'!K58/100,2)</f>
        <v>0</v>
      </c>
      <c r="P31" s="379">
        <f>'工程单价计算表'!K60</f>
        <v>0</v>
      </c>
    </row>
    <row r="32" spans="1:17" ht="18.75" customHeight="1">
      <c r="A32" s="207" t="s">
        <v>164</v>
      </c>
      <c r="B32" s="206" t="s">
        <v>165</v>
      </c>
      <c r="C32" s="207" t="s">
        <v>166</v>
      </c>
      <c r="D32" s="206" t="s">
        <v>81</v>
      </c>
      <c r="E32" s="379">
        <f>ROUND('工程单价计算表'!K8/100,2)</f>
        <v>0</v>
      </c>
      <c r="F32" s="379">
        <f>ROUND('工程单价计算表'!K10/100,2)</f>
        <v>0</v>
      </c>
      <c r="G32" s="379">
        <f>ROUND('工程单价计算表'!K12/100,2)</f>
        <v>0</v>
      </c>
      <c r="H32" s="379">
        <f>ROUND('工程单价计算表'!K16/100,2)</f>
        <v>0</v>
      </c>
      <c r="I32" s="379">
        <f>ROUND('工程单价计算表'!K17/100,2)</f>
        <v>0</v>
      </c>
      <c r="J32" s="379">
        <f>ROUND('工程单价计算表'!K18/100,2)</f>
        <v>0</v>
      </c>
      <c r="K32" s="379">
        <f>ROUND('工程单价计算表'!K19/100,2)</f>
        <v>0</v>
      </c>
      <c r="L32" s="379">
        <f>ROUND('工程单价计算表'!K20/100,2)</f>
        <v>0</v>
      </c>
      <c r="M32" s="379">
        <f>ROUND('工程单价计算表'!K21/100,2)</f>
        <v>0</v>
      </c>
      <c r="N32" s="379">
        <f>ROUND('工程单价计算表'!K25/100,2)</f>
        <v>0</v>
      </c>
      <c r="O32" s="379">
        <f>ROUND('工程单价计算表'!K26/100,2)</f>
        <v>0</v>
      </c>
      <c r="P32" s="379">
        <f>'工程单价计算表'!K28</f>
        <v>0</v>
      </c>
    </row>
    <row r="33" spans="1:17" ht="24.75" customHeight="1">
      <c r="A33" s="207" t="s">
        <v>168</v>
      </c>
      <c r="B33" s="206" t="s">
        <v>169</v>
      </c>
      <c r="C33" s="207" t="s">
        <v>96</v>
      </c>
      <c r="D33" s="206" t="s">
        <v>97</v>
      </c>
      <c r="E33" s="379">
        <f>ROUND('工程单价计算表'!K193/100,2)</f>
        <v>0</v>
      </c>
      <c r="F33" s="379">
        <f>ROUND('工程单价计算表'!K196/100,2)</f>
        <v>0</v>
      </c>
      <c r="G33" s="379">
        <f>ROUND('工程单价计算表'!K199/100,2)</f>
        <v>0</v>
      </c>
      <c r="H33" s="379">
        <f>ROUND('工程单价计算表'!K207/100,2)</f>
        <v>0</v>
      </c>
      <c r="I33" s="379">
        <f>ROUND('工程单价计算表'!K208/100,2)</f>
        <v>0</v>
      </c>
      <c r="J33" s="379">
        <f>ROUND('工程单价计算表'!K209/100,2)</f>
        <v>0</v>
      </c>
      <c r="K33" s="379">
        <f>ROUND('工程单价计算表'!K210/100,2)</f>
        <v>0</v>
      </c>
      <c r="L33" s="379">
        <f>ROUND('工程单价计算表'!K211/100,2)</f>
        <v>0</v>
      </c>
      <c r="M33" s="379">
        <f>ROUND('工程单价计算表'!K212/100,2)</f>
        <v>0</v>
      </c>
      <c r="N33" s="379">
        <f>ROUND('工程单价计算表'!K216/100,2)</f>
        <v>0</v>
      </c>
      <c r="O33" s="379">
        <f>ROUND('工程单价计算表'!K217/100,2)</f>
        <v>0</v>
      </c>
      <c r="P33" s="379">
        <f>'工程单价计算表'!K219</f>
        <v>0</v>
      </c>
    </row>
    <row r="34" spans="1:17" ht="24.75" customHeight="1">
      <c r="A34" s="207" t="s">
        <v>171</v>
      </c>
      <c r="B34" s="206" t="s">
        <v>172</v>
      </c>
      <c r="C34" s="207" t="s">
        <v>102</v>
      </c>
      <c r="D34" s="206" t="s">
        <v>103</v>
      </c>
      <c r="E34" s="379">
        <f>ROUND('工程单价计算表'!K156/100,2)</f>
        <v>0</v>
      </c>
      <c r="F34" s="379">
        <f>ROUND('工程单价计算表'!K158/100,2)</f>
        <v>0</v>
      </c>
      <c r="G34" s="379">
        <f>ROUND('工程单价计算表'!K161/100,2)</f>
        <v>0</v>
      </c>
      <c r="H34" s="379">
        <f>ROUND('工程单价计算表'!K162/100,2)</f>
        <v>0</v>
      </c>
      <c r="I34" s="379">
        <f>ROUND('工程单价计算表'!K163/100,2)</f>
        <v>0</v>
      </c>
      <c r="J34" s="379">
        <f>ROUND('工程单价计算表'!K164/100,2)</f>
        <v>0</v>
      </c>
      <c r="K34" s="379">
        <f>ROUND('工程单价计算表'!K165/100,2)</f>
        <v>0</v>
      </c>
      <c r="L34" s="379">
        <f>ROUND('工程单价计算表'!K166/100,2)</f>
        <v>0</v>
      </c>
      <c r="M34" s="379">
        <f>ROUND('工程单价计算表'!K167/100,2)</f>
        <v>0</v>
      </c>
      <c r="N34" s="379">
        <f>ROUND('工程单价计算表'!K170/100,2)</f>
        <v>0</v>
      </c>
      <c r="O34" s="379">
        <f>ROUND('工程单价计算表'!K171/100,2)</f>
        <v>0</v>
      </c>
      <c r="P34" s="379">
        <f>'工程单价计算表'!K173</f>
        <v>0</v>
      </c>
    </row>
    <row r="35" spans="1:17" ht="18.75" customHeight="1">
      <c r="A35" s="207" t="s">
        <v>175</v>
      </c>
      <c r="B35" s="206" t="s">
        <v>176</v>
      </c>
      <c r="C35" s="207" t="s">
        <v>108</v>
      </c>
      <c r="D35" s="206" t="s">
        <v>81</v>
      </c>
      <c r="E35" s="379">
        <f>ROUND('工程单价计算表'!K1419/100,2)</f>
        <v>0</v>
      </c>
      <c r="F35" s="379">
        <f>ROUND('工程单价计算表'!K1424/100,2)</f>
        <v>0</v>
      </c>
      <c r="G35" s="379">
        <f>ROUND('工程单价计算表'!K1433/100,2)</f>
        <v>0</v>
      </c>
      <c r="H35" s="379">
        <f>ROUND('工程单价计算表'!K1451/100,2)</f>
        <v>0</v>
      </c>
      <c r="I35" s="379">
        <f>ROUND('工程单价计算表'!K1452/100,2)</f>
        <v>0</v>
      </c>
      <c r="J35" s="379">
        <f>ROUND('工程单价计算表'!K1453/100,2)</f>
        <v>0</v>
      </c>
      <c r="K35" s="379">
        <f>ROUND('工程单价计算表'!K1454/100,2)</f>
        <v>0</v>
      </c>
      <c r="L35" s="379">
        <f>ROUND('工程单价计算表'!K1455/100,2)</f>
        <v>0</v>
      </c>
      <c r="M35" s="379">
        <f>ROUND('工程单价计算表'!K1456/100,2)</f>
        <v>0</v>
      </c>
      <c r="N35" s="379">
        <f>ROUND('工程单价计算表'!K1462/100,2)</f>
        <v>0</v>
      </c>
      <c r="O35" s="379">
        <f>ROUND('工程单价计算表'!K1463/100,2)</f>
        <v>0</v>
      </c>
      <c r="P35" s="379">
        <f>'工程单价计算表'!K1465</f>
        <v>0</v>
      </c>
    </row>
    <row r="36" spans="1:17" ht="18.75" customHeight="1">
      <c r="A36" s="207" t="s">
        <v>178</v>
      </c>
      <c r="B36" s="206" t="s">
        <v>179</v>
      </c>
      <c r="C36" s="207" t="s">
        <v>180</v>
      </c>
      <c r="D36" s="206" t="s">
        <v>81</v>
      </c>
      <c r="E36" s="379">
        <f>ROUND('工程单价计算表'!K583/100,2)</f>
        <v>0</v>
      </c>
      <c r="F36" s="379">
        <f>ROUND('工程单价计算表'!K587/100,2)</f>
        <v>0</v>
      </c>
      <c r="G36" s="379">
        <f>ROUND('工程单价计算表'!K593/100,2)</f>
        <v>0</v>
      </c>
      <c r="H36" s="379">
        <f>ROUND('工程单价计算表'!K601/100,2)</f>
        <v>0</v>
      </c>
      <c r="I36" s="379">
        <f>ROUND('工程单价计算表'!K602/100,2)</f>
        <v>0</v>
      </c>
      <c r="J36" s="379">
        <f>ROUND('工程单价计算表'!K603/100,2)</f>
        <v>0</v>
      </c>
      <c r="K36" s="379">
        <f>ROUND('工程单价计算表'!K604/100,2)</f>
        <v>0</v>
      </c>
      <c r="L36" s="379">
        <f>ROUND('工程单价计算表'!K605/100,2)</f>
        <v>0</v>
      </c>
      <c r="M36" s="379">
        <f>ROUND('工程单价计算表'!K606/100,2)</f>
        <v>0</v>
      </c>
      <c r="N36" s="379">
        <f>ROUND('工程单价计算表'!K618/100,2)</f>
        <v>0</v>
      </c>
      <c r="O36" s="379">
        <f>ROUND('工程单价计算表'!K619/100,2)</f>
        <v>0</v>
      </c>
      <c r="P36" s="379">
        <f>'工程单价计算表'!K621</f>
        <v>0</v>
      </c>
    </row>
    <row r="37" spans="1:17" ht="18.75" customHeight="1">
      <c r="A37" s="207" t="s">
        <v>182</v>
      </c>
      <c r="B37" s="206"/>
      <c r="C37" s="207" t="s">
        <v>112</v>
      </c>
      <c r="D37" s="206" t="s">
        <v>113</v>
      </c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 t="s">
        <v>419</v>
      </c>
    </row>
    <row r="38" spans="1:17" ht="18.75" customHeight="1">
      <c r="A38" s="207" t="s">
        <v>184</v>
      </c>
      <c r="B38" s="206" t="s">
        <v>185</v>
      </c>
      <c r="C38" s="207" t="s">
        <v>117</v>
      </c>
      <c r="D38" s="206" t="s">
        <v>81</v>
      </c>
      <c r="E38" s="379">
        <f>ROUND('工程单价计算表'!K265/100,2)</f>
        <v>0</v>
      </c>
      <c r="F38" s="379">
        <f>ROUND('工程单价计算表'!K267/100,2)</f>
        <v>0</v>
      </c>
      <c r="G38" s="379">
        <f>ROUND('工程单价计算表'!K271/100,2)</f>
        <v>0</v>
      </c>
      <c r="H38" s="379">
        <f>ROUND('工程单价计算表'!K272/100,2)</f>
        <v>0</v>
      </c>
      <c r="I38" s="379">
        <f>ROUND('工程单价计算表'!K273/100,2)</f>
        <v>0</v>
      </c>
      <c r="J38" s="379">
        <f>ROUND('工程单价计算表'!K274/100,2)</f>
        <v>0</v>
      </c>
      <c r="K38" s="379">
        <f>ROUND('工程单价计算表'!K275/100,2)</f>
        <v>0</v>
      </c>
      <c r="L38" s="379">
        <f>ROUND('工程单价计算表'!K276/100,2)</f>
        <v>0</v>
      </c>
      <c r="M38" s="379">
        <f>ROUND('工程单价计算表'!K277/100,2)</f>
        <v>0</v>
      </c>
      <c r="N38" s="379">
        <f>ROUND('工程单价计算表'!K281/100,2)</f>
        <v>0</v>
      </c>
      <c r="O38" s="379">
        <f>ROUND('工程单价计算表'!K282/100,2)</f>
        <v>0</v>
      </c>
      <c r="P38" s="379">
        <f>'工程单价计算表'!K284</f>
        <v>0</v>
      </c>
    </row>
    <row r="39" spans="1:17" ht="18.75" customHeight="1">
      <c r="A39" s="207" t="s">
        <v>187</v>
      </c>
      <c r="B39" s="206" t="s">
        <v>188</v>
      </c>
      <c r="C39" s="207" t="s">
        <v>121</v>
      </c>
      <c r="D39" s="206" t="s">
        <v>87</v>
      </c>
      <c r="E39" s="379">
        <f>ROUND('工程单价计算表'!K940/100,2)</f>
        <v>0</v>
      </c>
      <c r="F39" s="379">
        <f>ROUND('工程单价计算表'!K942/100,2)</f>
        <v>0</v>
      </c>
      <c r="G39" s="379">
        <f>ROUND('工程单价计算表'!K946/100,2)</f>
        <v>0</v>
      </c>
      <c r="H39" s="379">
        <f>ROUND('工程单价计算表'!K947/100,2)</f>
        <v>0</v>
      </c>
      <c r="I39" s="379">
        <f>ROUND('工程单价计算表'!K948/100,2)</f>
        <v>0</v>
      </c>
      <c r="J39" s="379">
        <f>ROUND('工程单价计算表'!K949/100,2)</f>
        <v>0</v>
      </c>
      <c r="K39" s="379">
        <f>ROUND('工程单价计算表'!K950/100,2)</f>
        <v>0</v>
      </c>
      <c r="L39" s="379">
        <f>ROUND('工程单价计算表'!K951/100,2)</f>
        <v>0</v>
      </c>
      <c r="M39" s="379">
        <f>ROUND('工程单价计算表'!K952/100,2)</f>
        <v>0</v>
      </c>
      <c r="N39" s="379">
        <f>ROUND('工程单价计算表'!K954/100,2)</f>
        <v>0</v>
      </c>
      <c r="O39" s="379">
        <f>ROUND('工程单价计算表'!K955/100,2)</f>
        <v>0</v>
      </c>
      <c r="P39" s="379">
        <f>'工程单价计算表'!K957</f>
        <v>0</v>
      </c>
    </row>
    <row r="40" spans="1:17" ht="24.75" customHeight="1">
      <c r="A40" s="207" t="s">
        <v>190</v>
      </c>
      <c r="B40" s="206" t="s">
        <v>191</v>
      </c>
      <c r="C40" s="207" t="s">
        <v>126</v>
      </c>
      <c r="D40" s="206" t="s">
        <v>97</v>
      </c>
      <c r="E40" s="379">
        <f>ROUND('工程单价计算表'!K229/100,2)</f>
        <v>0</v>
      </c>
      <c r="F40" s="379">
        <f>ROUND('工程单价计算表'!K232/100,2)</f>
        <v>0</v>
      </c>
      <c r="G40" s="379">
        <f>ROUND('工程单价计算表'!K235/100,2)</f>
        <v>0</v>
      </c>
      <c r="H40" s="379">
        <f>ROUND('工程单价计算表'!K239/100,2)</f>
        <v>0</v>
      </c>
      <c r="I40" s="379">
        <f>ROUND('工程单价计算表'!K240/100,2)</f>
        <v>0</v>
      </c>
      <c r="J40" s="379">
        <f>ROUND('工程单价计算表'!K241/100,2)</f>
        <v>0</v>
      </c>
      <c r="K40" s="379">
        <f>ROUND('工程单价计算表'!K242/100,2)</f>
        <v>0</v>
      </c>
      <c r="L40" s="379">
        <f>ROUND('工程单价计算表'!K243/100,2)</f>
        <v>0</v>
      </c>
      <c r="M40" s="379">
        <f>ROUND('工程单价计算表'!K244/100,2)</f>
        <v>0</v>
      </c>
      <c r="N40" s="379">
        <f>ROUND('工程单价计算表'!K248/100,2)</f>
        <v>0</v>
      </c>
      <c r="O40" s="379">
        <f>ROUND('工程单价计算表'!K249/100,2)</f>
        <v>0</v>
      </c>
      <c r="P40" s="379">
        <f>'工程单价计算表'!K251</f>
        <v>0</v>
      </c>
    </row>
    <row r="41" spans="1:17" ht="18.75" customHeight="1">
      <c r="A41" s="207" t="s">
        <v>193</v>
      </c>
      <c r="B41" s="206" t="s">
        <v>194</v>
      </c>
      <c r="C41" s="207" t="s">
        <v>130</v>
      </c>
      <c r="D41" s="206" t="s">
        <v>87</v>
      </c>
      <c r="E41" s="379">
        <f>ROUND('工程单价计算表'!K866/100,2)</f>
        <v>0</v>
      </c>
      <c r="F41" s="379">
        <f>ROUND('工程单价计算表'!K869/100,2)</f>
        <v>0</v>
      </c>
      <c r="G41" s="379">
        <f>ROUND('工程单价计算表'!K880/100,2)</f>
        <v>0</v>
      </c>
      <c r="H41" s="379">
        <f>ROUND('工程单价计算表'!K888/100,2)</f>
        <v>0</v>
      </c>
      <c r="I41" s="379">
        <f>ROUND('工程单价计算表'!K889/100,2)</f>
        <v>0</v>
      </c>
      <c r="J41" s="379">
        <f>ROUND('工程单价计算表'!K890/100,2)</f>
        <v>0</v>
      </c>
      <c r="K41" s="379">
        <f>ROUND('工程单价计算表'!K891/100,2)</f>
        <v>0</v>
      </c>
      <c r="L41" s="379">
        <f>ROUND('工程单价计算表'!K892/100,2)</f>
        <v>0</v>
      </c>
      <c r="M41" s="379">
        <f>ROUND('工程单价计算表'!K893/100,2)</f>
        <v>0</v>
      </c>
      <c r="N41" s="379">
        <f>ROUND('工程单价计算表'!K905/100,2)</f>
        <v>0</v>
      </c>
      <c r="O41" s="379">
        <f>ROUND('工程单价计算表'!K906/100,2)</f>
        <v>0</v>
      </c>
      <c r="P41" s="379">
        <f>'工程单价计算表'!K908</f>
        <v>0</v>
      </c>
    </row>
    <row r="42" spans="1:17" ht="18.75" customHeight="1">
      <c r="A42" s="207" t="s">
        <v>196</v>
      </c>
      <c r="B42" s="206" t="s">
        <v>197</v>
      </c>
      <c r="C42" s="207" t="s">
        <v>135</v>
      </c>
      <c r="D42" s="206" t="s">
        <v>87</v>
      </c>
      <c r="E42" s="379">
        <f>ROUND('工程单价计算表'!K339/100,2)</f>
        <v>0</v>
      </c>
      <c r="F42" s="379">
        <f>ROUND('工程单价计算表'!K341/100,2)</f>
        <v>0</v>
      </c>
      <c r="G42" s="379">
        <f>ROUND('工程单价计算表'!K346/100,2)</f>
        <v>0</v>
      </c>
      <c r="H42" s="379">
        <f>ROUND('工程单价计算表'!K348/100,2)</f>
        <v>0</v>
      </c>
      <c r="I42" s="379">
        <f>ROUND('工程单价计算表'!K349/100,2)</f>
        <v>0</v>
      </c>
      <c r="J42" s="379">
        <f>ROUND('工程单价计算表'!K350/100,2)</f>
        <v>0</v>
      </c>
      <c r="K42" s="379">
        <f>ROUND('工程单价计算表'!K351/100,2)</f>
        <v>0</v>
      </c>
      <c r="L42" s="379">
        <f>ROUND('工程单价计算表'!K352/100,2)</f>
        <v>0</v>
      </c>
      <c r="M42" s="379">
        <f>ROUND('工程单价计算表'!K353/100,2)</f>
        <v>0</v>
      </c>
      <c r="N42" s="379">
        <f>ROUND('工程单价计算表'!K357/100,2)</f>
        <v>0</v>
      </c>
      <c r="O42" s="379">
        <f>ROUND('工程单价计算表'!K358/100,2)</f>
        <v>0</v>
      </c>
      <c r="P42" s="379">
        <f>'工程单价计算表'!K360</f>
        <v>0</v>
      </c>
    </row>
    <row r="43" spans="1:17" ht="24.75" customHeight="1">
      <c r="A43" s="207" t="s">
        <v>199</v>
      </c>
      <c r="B43" s="206" t="s">
        <v>200</v>
      </c>
      <c r="C43" s="207" t="s">
        <v>140</v>
      </c>
      <c r="D43" s="206" t="s">
        <v>81</v>
      </c>
      <c r="E43" s="379">
        <f>ROUND('工程单价计算表'!K721/100,2)</f>
        <v>0</v>
      </c>
      <c r="F43" s="379">
        <f>ROUND('工程单价计算表'!K724/100,2)</f>
        <v>0</v>
      </c>
      <c r="G43" s="379">
        <f>ROUND('工程单价计算表'!K737/100,2)</f>
        <v>0</v>
      </c>
      <c r="H43" s="379">
        <f>ROUND('工程单价计算表'!K746/100,2)</f>
        <v>0</v>
      </c>
      <c r="I43" s="379">
        <f>ROUND('工程单价计算表'!K747/100,2)</f>
        <v>0</v>
      </c>
      <c r="J43" s="379">
        <f>ROUND('工程单价计算表'!K748/100,2)</f>
        <v>0</v>
      </c>
      <c r="K43" s="379">
        <f>ROUND('工程单价计算表'!K755/100,2)</f>
        <v>0</v>
      </c>
      <c r="L43" s="379">
        <f>ROUND('工程单价计算表'!K756/100,2)</f>
        <v>0</v>
      </c>
      <c r="M43" s="379">
        <f>ROUND('工程单价计算表'!K757/100,2)</f>
        <v>0</v>
      </c>
      <c r="N43" s="379">
        <f>ROUND('工程单价计算表'!K767/100,2)</f>
        <v>0</v>
      </c>
      <c r="O43" s="379">
        <f>ROUND('工程单价计算表'!K768/100,2)</f>
        <v>0</v>
      </c>
      <c r="P43" s="379">
        <f>'工程单价计算表'!K770</f>
        <v>0</v>
      </c>
    </row>
    <row r="44" spans="1:17" ht="18.75" customHeight="1">
      <c r="A44" s="207" t="s">
        <v>202</v>
      </c>
      <c r="B44" s="206"/>
      <c r="C44" s="207" t="s">
        <v>144</v>
      </c>
      <c r="D44" s="206" t="s">
        <v>145</v>
      </c>
      <c r="E44" s="379">
        <f>ROUND('工程单价计算表'!K1014/10,2)</f>
        <v>0</v>
      </c>
      <c r="F44" s="379">
        <f>ROUND('工程单价计算表'!K1016/10,2)</f>
        <v>0</v>
      </c>
      <c r="G44" s="379">
        <f>ROUND('工程单价计算表'!K1022/10,2)</f>
        <v>0</v>
      </c>
      <c r="H44" s="379">
        <f>ROUND('工程单价计算表'!K1024/10,2)</f>
        <v>0</v>
      </c>
      <c r="I44" s="379">
        <f>ROUND('工程单价计算表'!K1025/10,2)</f>
        <v>0</v>
      </c>
      <c r="J44" s="379">
        <f>ROUND('工程单价计算表'!K1026/10,2)</f>
        <v>0</v>
      </c>
      <c r="K44" s="379">
        <f>ROUND('工程单价计算表'!K1027/10,2)</f>
        <v>0</v>
      </c>
      <c r="L44" s="379">
        <f>ROUND('工程单价计算表'!K1028/10,2)</f>
        <v>0</v>
      </c>
      <c r="M44" s="379">
        <f>ROUND('工程单价计算表'!K1029/10,2)</f>
        <v>0</v>
      </c>
      <c r="N44" s="379">
        <f>ROUND('工程单价计算表'!K1034/10,2)</f>
        <v>0</v>
      </c>
      <c r="O44" s="379">
        <f>ROUND('工程单价计算表'!K1035/10,2)</f>
        <v>0</v>
      </c>
      <c r="P44" s="379">
        <f>'工程单价计算表'!K1037</f>
        <v>0</v>
      </c>
    </row>
    <row r="45" spans="1:17" ht="18.75" customHeight="1">
      <c r="A45" s="207" t="s">
        <v>203</v>
      </c>
      <c r="B45" s="206" t="s">
        <v>204</v>
      </c>
      <c r="C45" s="207" t="s">
        <v>148</v>
      </c>
      <c r="D45" s="206" t="s">
        <v>149</v>
      </c>
      <c r="E45" s="379">
        <f>'工程单价计算表'!K792</f>
        <v>0</v>
      </c>
      <c r="F45" s="379">
        <f>'工程单价计算表'!K794</f>
        <v>0</v>
      </c>
      <c r="G45" s="379">
        <f>'工程单价计算表'!K799</f>
        <v>0</v>
      </c>
      <c r="H45" s="379">
        <f>'工程单价计算表'!K809</f>
        <v>0</v>
      </c>
      <c r="I45" s="379">
        <f>'工程单价计算表'!K810</f>
        <v>0</v>
      </c>
      <c r="J45" s="379">
        <f>'工程单价计算表'!K811</f>
        <v>0</v>
      </c>
      <c r="K45" s="379">
        <f>'工程单价计算表'!K812</f>
        <v>0</v>
      </c>
      <c r="L45" s="379">
        <f>'工程单价计算表'!K813</f>
        <v>0</v>
      </c>
      <c r="M45" s="379">
        <f>'工程单价计算表'!K814</f>
        <v>0</v>
      </c>
      <c r="N45" s="379">
        <f>'工程单价计算表'!K819</f>
        <v>0</v>
      </c>
      <c r="O45" s="379">
        <f>'工程单价计算表'!K820</f>
        <v>0</v>
      </c>
      <c r="P45" s="379">
        <f>'工程单价计算表'!K828</f>
        <v>0</v>
      </c>
    </row>
    <row r="46" spans="1:16" ht="7.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ht="26.25" customHeight="1">
      <c r="A47" s="202" t="s">
        <v>352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</row>
    <row r="48" spans="1:16" ht="18.75" customHeight="1">
      <c r="A48" s="203" t="s">
        <v>24</v>
      </c>
      <c r="B48" s="203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16" ht="18.75" customHeight="1">
      <c r="A49" s="203" t="s">
        <v>25</v>
      </c>
      <c r="B49" s="203"/>
      <c r="C49" s="204" t="s">
        <v>26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5" t="s">
        <v>245</v>
      </c>
      <c r="O49" s="205"/>
      <c r="P49" s="205"/>
    </row>
    <row r="50" spans="1:17" ht="37.5" customHeight="1">
      <c r="A50" s="206" t="s">
        <v>28</v>
      </c>
      <c r="B50" s="206" t="s">
        <v>68</v>
      </c>
      <c r="C50" s="206" t="s">
        <v>69</v>
      </c>
      <c r="D50" s="206" t="s">
        <v>70</v>
      </c>
      <c r="E50" s="206" t="s">
        <v>353</v>
      </c>
      <c r="F50" s="206" t="s">
        <v>354</v>
      </c>
      <c r="G50" s="206" t="s">
        <v>355</v>
      </c>
      <c r="H50" s="206" t="s">
        <v>356</v>
      </c>
      <c r="I50" s="206" t="s">
        <v>357</v>
      </c>
      <c r="J50" s="206" t="s">
        <v>358</v>
      </c>
      <c r="K50" s="206" t="s">
        <v>359</v>
      </c>
      <c r="L50" s="206" t="s">
        <v>360</v>
      </c>
      <c r="M50" s="206" t="s">
        <v>361</v>
      </c>
      <c r="N50" s="206" t="s">
        <v>362</v>
      </c>
      <c r="O50" s="206" t="s">
        <v>363</v>
      </c>
      <c r="P50" s="206" t="s">
        <v>64</v>
      </c>
    </row>
    <row r="51" spans="1:16" ht="18.75" customHeight="1">
      <c r="A51" s="207" t="s">
        <v>34</v>
      </c>
      <c r="B51" s="206"/>
      <c r="C51" s="207" t="s">
        <v>35</v>
      </c>
      <c r="D51" s="206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</row>
    <row r="52" spans="1:16" ht="18.75" customHeight="1">
      <c r="A52" s="207" t="s">
        <v>206</v>
      </c>
      <c r="B52" s="206"/>
      <c r="C52" s="207" t="s">
        <v>207</v>
      </c>
      <c r="D52" s="206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</row>
    <row r="53" spans="1:17" ht="24.75" customHeight="1">
      <c r="A53" s="207" t="s">
        <v>208</v>
      </c>
      <c r="B53" s="206" t="s">
        <v>209</v>
      </c>
      <c r="C53" s="207" t="s">
        <v>210</v>
      </c>
      <c r="D53" s="206" t="s">
        <v>81</v>
      </c>
      <c r="E53" s="379">
        <f>ROUND('工程单价计算表'!K82/100,2)</f>
        <v>0</v>
      </c>
      <c r="F53" s="379">
        <f>ROUND('工程单价计算表'!K84/100,2)</f>
        <v>0</v>
      </c>
      <c r="G53" s="379">
        <f>ROUND('工程单价计算表'!K86/100,2)</f>
        <v>0</v>
      </c>
      <c r="H53" s="379">
        <f>ROUND('工程单价计算表'!K88/100,2)</f>
        <v>0</v>
      </c>
      <c r="I53" s="379">
        <f>ROUND('工程单价计算表'!K89/100,2)</f>
        <v>0</v>
      </c>
      <c r="J53" s="379">
        <f>ROUND('工程单价计算表'!K90/100,2)</f>
        <v>0</v>
      </c>
      <c r="K53" s="379">
        <f>ROUND('工程单价计算表'!K91/100,2)</f>
        <v>0</v>
      </c>
      <c r="L53" s="379">
        <f>ROUND('工程单价计算表'!K92/100,2)</f>
        <v>0</v>
      </c>
      <c r="M53" s="379">
        <f>ROUND('工程单价计算表'!K93/100,2)</f>
        <v>0</v>
      </c>
      <c r="N53" s="379">
        <f>ROUND('工程单价计算表'!K97/100,2)</f>
        <v>0</v>
      </c>
      <c r="O53" s="379">
        <f>ROUND('工程单价计算表'!K98/100,2)</f>
        <v>0</v>
      </c>
      <c r="P53" s="379">
        <f>'工程单价计算表'!K100</f>
        <v>0</v>
      </c>
    </row>
    <row r="54" spans="1:17" ht="18.75" customHeight="1">
      <c r="A54" s="207" t="s">
        <v>212</v>
      </c>
      <c r="B54" s="206" t="s">
        <v>213</v>
      </c>
      <c r="C54" s="207" t="s">
        <v>92</v>
      </c>
      <c r="D54" s="206" t="s">
        <v>81</v>
      </c>
      <c r="E54" s="379">
        <f>ROUND('工程单价计算表'!K1272/100,2)</f>
        <v>0</v>
      </c>
      <c r="F54" s="379">
        <f>ROUND('工程单价计算表'!K1274/100,2)</f>
        <v>0</v>
      </c>
      <c r="G54" s="379">
        <f>ROUND('工程单价计算表'!K1276/100,2)</f>
        <v>0</v>
      </c>
      <c r="H54" s="379">
        <f>ROUND('工程单价计算表'!K1281/100,2)</f>
        <v>0</v>
      </c>
      <c r="I54" s="379">
        <f>ROUND('工程单价计算表'!K1282/100,2)</f>
        <v>0</v>
      </c>
      <c r="J54" s="379">
        <f>ROUND('工程单价计算表'!K1283/100,2)</f>
        <v>0</v>
      </c>
      <c r="K54" s="379">
        <f>ROUND('工程单价计算表'!K1284/100,2)</f>
        <v>0</v>
      </c>
      <c r="L54" s="379">
        <f>ROUND('工程单价计算表'!K1285/100,2)</f>
        <v>0</v>
      </c>
      <c r="M54" s="379">
        <f>ROUND('工程单价计算表'!K1286/100,2)</f>
        <v>0</v>
      </c>
      <c r="N54" s="379">
        <f>ROUND('工程单价计算表'!K1290/100,2)</f>
        <v>0</v>
      </c>
      <c r="O54" s="379">
        <f>ROUND('工程单价计算表'!K1291/100,2)</f>
        <v>0</v>
      </c>
      <c r="P54" s="379">
        <f>'工程单价计算表'!K1293</f>
        <v>0</v>
      </c>
    </row>
    <row r="55" spans="1:17" ht="18.75" customHeight="1">
      <c r="A55" s="207" t="s">
        <v>215</v>
      </c>
      <c r="B55" s="206" t="s">
        <v>216</v>
      </c>
      <c r="C55" s="207" t="s">
        <v>166</v>
      </c>
      <c r="D55" s="206" t="s">
        <v>81</v>
      </c>
      <c r="E55" s="379">
        <f>ROUND('工程单价计算表'!K8/100,2)</f>
        <v>0</v>
      </c>
      <c r="F55" s="379">
        <f>ROUND('工程单价计算表'!K10/100,2)</f>
        <v>0</v>
      </c>
      <c r="G55" s="379">
        <f>ROUND('工程单价计算表'!K12/100,2)</f>
        <v>0</v>
      </c>
      <c r="H55" s="379">
        <f>ROUND('工程单价计算表'!K16/100,2)</f>
        <v>0</v>
      </c>
      <c r="I55" s="379">
        <f>ROUND('工程单价计算表'!K17/100,2)</f>
        <v>0</v>
      </c>
      <c r="J55" s="379">
        <f>ROUND('工程单价计算表'!K18/100,2)</f>
        <v>0</v>
      </c>
      <c r="K55" s="379">
        <f>ROUND('工程单价计算表'!K19/100,2)</f>
        <v>0</v>
      </c>
      <c r="L55" s="379">
        <f>ROUND('工程单价计算表'!K20/100,2)</f>
        <v>0</v>
      </c>
      <c r="M55" s="379">
        <f>ROUND('工程单价计算表'!K21/100,2)</f>
        <v>0</v>
      </c>
      <c r="N55" s="379">
        <f>ROUND('工程单价计算表'!K25/100,2)</f>
        <v>0</v>
      </c>
      <c r="O55" s="379">
        <f>ROUND('工程单价计算表'!K26/100,2)</f>
        <v>0</v>
      </c>
      <c r="P55" s="379">
        <f>'工程单价计算表'!K28</f>
        <v>0</v>
      </c>
    </row>
    <row r="56" spans="1:17" ht="24.75" customHeight="1">
      <c r="A56" s="207" t="s">
        <v>218</v>
      </c>
      <c r="B56" s="206" t="s">
        <v>219</v>
      </c>
      <c r="C56" s="207" t="s">
        <v>96</v>
      </c>
      <c r="D56" s="206" t="s">
        <v>97</v>
      </c>
      <c r="E56" s="379">
        <f>ROUND('工程单价计算表'!K193/100,2)</f>
        <v>0</v>
      </c>
      <c r="F56" s="379">
        <f>ROUND('工程单价计算表'!K196/100,2)</f>
        <v>0</v>
      </c>
      <c r="G56" s="379">
        <f>ROUND('工程单价计算表'!K199/100,2)</f>
        <v>0</v>
      </c>
      <c r="H56" s="379">
        <f>ROUND('工程单价计算表'!K207/100,2)</f>
        <v>0</v>
      </c>
      <c r="I56" s="379">
        <f>ROUND('工程单价计算表'!K208/100,2)</f>
        <v>0</v>
      </c>
      <c r="J56" s="379">
        <f>ROUND('工程单价计算表'!K209/100,2)</f>
        <v>0</v>
      </c>
      <c r="K56" s="379">
        <f>ROUND('工程单价计算表'!K210/100,2)</f>
        <v>0</v>
      </c>
      <c r="L56" s="379">
        <f>ROUND('工程单价计算表'!K211/100,2)</f>
        <v>0</v>
      </c>
      <c r="M56" s="379">
        <f>ROUND('工程单价计算表'!K212/100,2)</f>
        <v>0</v>
      </c>
      <c r="N56" s="379">
        <f>ROUND('工程单价计算表'!K216/100,2)</f>
        <v>0</v>
      </c>
      <c r="O56" s="379">
        <f>ROUND('工程单价计算表'!K217/100,2)</f>
        <v>0</v>
      </c>
      <c r="P56" s="379">
        <f>'工程单价计算表'!K219</f>
        <v>0</v>
      </c>
    </row>
    <row r="57" spans="1:17" ht="24.75" customHeight="1">
      <c r="A57" s="207" t="s">
        <v>221</v>
      </c>
      <c r="B57" s="206" t="s">
        <v>222</v>
      </c>
      <c r="C57" s="207" t="s">
        <v>102</v>
      </c>
      <c r="D57" s="206" t="s">
        <v>103</v>
      </c>
      <c r="E57" s="379">
        <f>ROUND('工程单价计算表'!K156/100,2)</f>
        <v>0</v>
      </c>
      <c r="F57" s="379">
        <f>ROUND('工程单价计算表'!K158/100,2)</f>
        <v>0</v>
      </c>
      <c r="G57" s="379">
        <f>ROUND('工程单价计算表'!K161/100,2)</f>
        <v>0</v>
      </c>
      <c r="H57" s="379">
        <f>ROUND('工程单价计算表'!K162/100,2)</f>
        <v>0</v>
      </c>
      <c r="I57" s="379">
        <f>ROUND('工程单价计算表'!K163/100,2)</f>
        <v>0</v>
      </c>
      <c r="J57" s="379">
        <f>ROUND('工程单价计算表'!K164/100,2)</f>
        <v>0</v>
      </c>
      <c r="K57" s="379">
        <f>ROUND('工程单价计算表'!K165/100,2)</f>
        <v>0</v>
      </c>
      <c r="L57" s="379">
        <f>ROUND('工程单价计算表'!K166/100,2)</f>
        <v>0</v>
      </c>
      <c r="M57" s="379">
        <f>ROUND('工程单价计算表'!K167/100,2)</f>
        <v>0</v>
      </c>
      <c r="N57" s="379">
        <f>ROUND('工程单价计算表'!K170/100,2)</f>
        <v>0</v>
      </c>
      <c r="O57" s="379">
        <f>ROUND('工程单价计算表'!K171/100,2)</f>
        <v>0</v>
      </c>
      <c r="P57" s="379">
        <f>'工程单价计算表'!K173</f>
        <v>0</v>
      </c>
    </row>
    <row r="58" spans="1:17" ht="18.75" customHeight="1">
      <c r="A58" s="207" t="s">
        <v>224</v>
      </c>
      <c r="B58" s="206" t="s">
        <v>225</v>
      </c>
      <c r="C58" s="207" t="s">
        <v>226</v>
      </c>
      <c r="D58" s="206" t="s">
        <v>81</v>
      </c>
      <c r="E58" s="379">
        <f>ROUND('工程单价计算表'!K515/100,2)</f>
        <v>0</v>
      </c>
      <c r="F58" s="379">
        <f>ROUND('工程单价计算表'!K520/100,2)</f>
        <v>0</v>
      </c>
      <c r="G58" s="379">
        <f>ROUND('工程单价计算表'!K529/100,2)</f>
        <v>0</v>
      </c>
      <c r="H58" s="379">
        <f>ROUND('工程单价计算表'!K547/100,2)</f>
        <v>0</v>
      </c>
      <c r="I58" s="379">
        <f>ROUND('工程单价计算表'!K548/100,2)</f>
        <v>0</v>
      </c>
      <c r="J58" s="379">
        <f>ROUND('工程单价计算表'!K549/100,2)</f>
        <v>0</v>
      </c>
      <c r="K58" s="379">
        <f>ROUND('工程单价计算表'!K550/100,2)</f>
        <v>0</v>
      </c>
      <c r="L58" s="379">
        <f>ROUND('工程单价计算表'!K551/100,2)</f>
        <v>0</v>
      </c>
      <c r="M58" s="379">
        <f>ROUND('工程单价计算表'!K552/100,2)</f>
        <v>0</v>
      </c>
      <c r="N58" s="379">
        <f>ROUND('工程单价计算表'!K558/100,2)</f>
        <v>0</v>
      </c>
      <c r="O58" s="379">
        <f>ROUND('工程单价计算表'!K559/100,2)</f>
        <v>0</v>
      </c>
      <c r="P58" s="379">
        <f>'工程单价计算表'!K561</f>
        <v>0</v>
      </c>
    </row>
    <row r="59" spans="1:17" ht="18.75" customHeight="1">
      <c r="A59" s="207" t="s">
        <v>228</v>
      </c>
      <c r="B59" s="206"/>
      <c r="C59" s="207" t="s">
        <v>112</v>
      </c>
      <c r="D59" s="206" t="s">
        <v>113</v>
      </c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 t="s">
        <v>419</v>
      </c>
    </row>
    <row r="60" spans="1:17" ht="18.75" customHeight="1">
      <c r="A60" s="207" t="s">
        <v>230</v>
      </c>
      <c r="B60" s="206" t="s">
        <v>231</v>
      </c>
      <c r="C60" s="207" t="s">
        <v>117</v>
      </c>
      <c r="D60" s="206" t="s">
        <v>81</v>
      </c>
      <c r="E60" s="379">
        <f>ROUND('工程单价计算表'!K265/100,2)</f>
        <v>0</v>
      </c>
      <c r="F60" s="379">
        <f>ROUND('工程单价计算表'!K267/100,2)</f>
        <v>0</v>
      </c>
      <c r="G60" s="379">
        <f>ROUND('工程单价计算表'!K271/100,2)</f>
        <v>0</v>
      </c>
      <c r="H60" s="379">
        <f>ROUND('工程单价计算表'!K272/100,2)</f>
        <v>0</v>
      </c>
      <c r="I60" s="379">
        <f>ROUND('工程单价计算表'!K273/100,2)</f>
        <v>0</v>
      </c>
      <c r="J60" s="379">
        <f>ROUND('工程单价计算表'!K274/100,2)</f>
        <v>0</v>
      </c>
      <c r="K60" s="379">
        <f>ROUND('工程单价计算表'!K275/100,2)</f>
        <v>0</v>
      </c>
      <c r="L60" s="379">
        <f>ROUND('工程单价计算表'!K276/100,2)</f>
        <v>0</v>
      </c>
      <c r="M60" s="379">
        <f>ROUND('工程单价计算表'!K277/100,2)</f>
        <v>0</v>
      </c>
      <c r="N60" s="379">
        <f>ROUND('工程单价计算表'!K281/100,2)</f>
        <v>0</v>
      </c>
      <c r="O60" s="379">
        <f>ROUND('工程单价计算表'!K282/100,2)</f>
        <v>0</v>
      </c>
      <c r="P60" s="379">
        <f>'工程单价计算表'!K284</f>
        <v>0</v>
      </c>
    </row>
    <row r="61" spans="1:17" ht="18.75" customHeight="1">
      <c r="A61" s="207" t="s">
        <v>233</v>
      </c>
      <c r="B61" s="206" t="s">
        <v>234</v>
      </c>
      <c r="C61" s="207" t="s">
        <v>121</v>
      </c>
      <c r="D61" s="206" t="s">
        <v>87</v>
      </c>
      <c r="E61" s="379">
        <f>ROUND('工程单价计算表'!K940/100,2)</f>
        <v>0</v>
      </c>
      <c r="F61" s="379">
        <f>ROUND('工程单价计算表'!K942/100,2)</f>
        <v>0</v>
      </c>
      <c r="G61" s="379">
        <f>ROUND('工程单价计算表'!K946/100,2)</f>
        <v>0</v>
      </c>
      <c r="H61" s="379">
        <f>ROUND('工程单价计算表'!K947/100,2)</f>
        <v>0</v>
      </c>
      <c r="I61" s="379">
        <f>ROUND('工程单价计算表'!K948/100,2)</f>
        <v>0</v>
      </c>
      <c r="J61" s="379">
        <f>ROUND('工程单价计算表'!K949/100,2)</f>
        <v>0</v>
      </c>
      <c r="K61" s="379">
        <f>ROUND('工程单价计算表'!K950/100,2)</f>
        <v>0</v>
      </c>
      <c r="L61" s="379">
        <f>ROUND('工程单价计算表'!K951/100,2)</f>
        <v>0</v>
      </c>
      <c r="M61" s="379">
        <f>ROUND('工程单价计算表'!K952/100,2)</f>
        <v>0</v>
      </c>
      <c r="N61" s="379">
        <f>ROUND('工程单价计算表'!K954/100,2)</f>
        <v>0</v>
      </c>
      <c r="O61" s="379">
        <f>ROUND('工程单价计算表'!K955/100,2)</f>
        <v>0</v>
      </c>
      <c r="P61" s="379">
        <f>'工程单价计算表'!K957</f>
        <v>0</v>
      </c>
    </row>
    <row r="62" spans="1:17" ht="24.75" customHeight="1">
      <c r="A62" s="207" t="s">
        <v>236</v>
      </c>
      <c r="B62" s="206" t="s">
        <v>237</v>
      </c>
      <c r="C62" s="207" t="s">
        <v>126</v>
      </c>
      <c r="D62" s="206" t="s">
        <v>97</v>
      </c>
      <c r="E62" s="379">
        <f>ROUND('工程单价计算表'!K229/100,2)</f>
        <v>0</v>
      </c>
      <c r="F62" s="379">
        <f>ROUND('工程单价计算表'!K232/100,2)</f>
        <v>0</v>
      </c>
      <c r="G62" s="379">
        <f>ROUND('工程单价计算表'!K235/100,2)</f>
        <v>0</v>
      </c>
      <c r="H62" s="379">
        <f>ROUND('工程单价计算表'!K239/100,2)</f>
        <v>0</v>
      </c>
      <c r="I62" s="379">
        <f>ROUND('工程单价计算表'!K240/100,2)</f>
        <v>0</v>
      </c>
      <c r="J62" s="379">
        <f>ROUND('工程单价计算表'!K241/100,2)</f>
        <v>0</v>
      </c>
      <c r="K62" s="379">
        <f>ROUND('工程单价计算表'!K242/100,2)</f>
        <v>0</v>
      </c>
      <c r="L62" s="379">
        <f>ROUND('工程单价计算表'!K243/100,2)</f>
        <v>0</v>
      </c>
      <c r="M62" s="379">
        <f>ROUND('工程单价计算表'!K244/100,2)</f>
        <v>0</v>
      </c>
      <c r="N62" s="379">
        <f>ROUND('工程单价计算表'!K248/100,2)</f>
        <v>0</v>
      </c>
      <c r="O62" s="379">
        <f>ROUND('工程单价计算表'!K249/100,2)</f>
        <v>0</v>
      </c>
      <c r="P62" s="379">
        <f>'工程单价计算表'!K251</f>
        <v>0</v>
      </c>
    </row>
    <row r="63" spans="1:17" ht="18.75" customHeight="1">
      <c r="A63" s="207" t="s">
        <v>239</v>
      </c>
      <c r="B63" s="206" t="s">
        <v>240</v>
      </c>
      <c r="C63" s="207" t="s">
        <v>135</v>
      </c>
      <c r="D63" s="206" t="s">
        <v>87</v>
      </c>
      <c r="E63" s="379">
        <f>ROUND('工程单价计算表'!K339/100,2)</f>
        <v>0</v>
      </c>
      <c r="F63" s="379">
        <f>ROUND('工程单价计算表'!K341/100,2)</f>
        <v>0</v>
      </c>
      <c r="G63" s="379">
        <f>ROUND('工程单价计算表'!K346/100,2)</f>
        <v>0</v>
      </c>
      <c r="H63" s="379">
        <f>ROUND('工程单价计算表'!K348/100,2)</f>
        <v>0</v>
      </c>
      <c r="I63" s="379">
        <f>ROUND('工程单价计算表'!K349/100,2)</f>
        <v>0</v>
      </c>
      <c r="J63" s="379">
        <f>ROUND('工程单价计算表'!K350/100,2)</f>
        <v>0</v>
      </c>
      <c r="K63" s="379">
        <f>ROUND('工程单价计算表'!K351/100,2)</f>
        <v>0</v>
      </c>
      <c r="L63" s="379">
        <f>ROUND('工程单价计算表'!K352/100,2)</f>
        <v>0</v>
      </c>
      <c r="M63" s="379">
        <f>ROUND('工程单价计算表'!K353/100,2)</f>
        <v>0</v>
      </c>
      <c r="N63" s="379">
        <f>ROUND('工程单价计算表'!K357/100,2)</f>
        <v>0</v>
      </c>
      <c r="O63" s="379">
        <f>ROUND('工程单价计算表'!K358/100,2)</f>
        <v>0</v>
      </c>
      <c r="P63" s="379">
        <f>'工程单价计算表'!K360</f>
        <v>0</v>
      </c>
    </row>
    <row r="64" spans="1:17" ht="18.75" customHeight="1">
      <c r="A64" s="207" t="s">
        <v>242</v>
      </c>
      <c r="B64" s="206" t="s">
        <v>243</v>
      </c>
      <c r="C64" s="207" t="s">
        <v>130</v>
      </c>
      <c r="D64" s="206" t="s">
        <v>87</v>
      </c>
      <c r="E64" s="379">
        <f>ROUND('工程单价计算表'!K866/100,2)</f>
        <v>0</v>
      </c>
      <c r="F64" s="379">
        <f>ROUND('工程单价计算表'!K869/100,2)</f>
        <v>0</v>
      </c>
      <c r="G64" s="379">
        <f>ROUND('工程单价计算表'!K880/100,2)</f>
        <v>0</v>
      </c>
      <c r="H64" s="379">
        <f>ROUND('工程单价计算表'!K888/100,2)</f>
        <v>0</v>
      </c>
      <c r="I64" s="379">
        <f>ROUND('工程单价计算表'!K889/100,2)</f>
        <v>0</v>
      </c>
      <c r="J64" s="379">
        <f>ROUND('工程单价计算表'!K890/100,2)</f>
        <v>0</v>
      </c>
      <c r="K64" s="379">
        <f>ROUND('工程单价计算表'!K891/100,2)</f>
        <v>0</v>
      </c>
      <c r="L64" s="379">
        <f>ROUND('工程单价计算表'!K892/100,2)</f>
        <v>0</v>
      </c>
      <c r="M64" s="379">
        <f>ROUND('工程单价计算表'!K893/100,2)</f>
        <v>0</v>
      </c>
      <c r="N64" s="379">
        <f>ROUND('工程单价计算表'!K905/100,2)</f>
        <v>0</v>
      </c>
      <c r="O64" s="379">
        <f>ROUND('工程单价计算表'!K906/100,2)</f>
        <v>0</v>
      </c>
      <c r="P64" s="379">
        <f>'工程单价计算表'!K908</f>
        <v>0</v>
      </c>
    </row>
    <row r="65" spans="1:16" ht="18.75" customHeight="1">
      <c r="A65" s="207" t="s">
        <v>246</v>
      </c>
      <c r="B65" s="206"/>
      <c r="C65" s="207" t="s">
        <v>247</v>
      </c>
      <c r="D65" s="206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</row>
    <row r="66" spans="1:17" ht="24.75" customHeight="1">
      <c r="A66" s="207" t="s">
        <v>248</v>
      </c>
      <c r="B66" s="206" t="s">
        <v>249</v>
      </c>
      <c r="C66" s="207" t="s">
        <v>210</v>
      </c>
      <c r="D66" s="206" t="s">
        <v>81</v>
      </c>
      <c r="E66" s="379">
        <f>ROUND('工程单价计算表'!K82/100,2)</f>
        <v>0</v>
      </c>
      <c r="F66" s="379">
        <f>ROUND('工程单价计算表'!K84/100,2)</f>
        <v>0</v>
      </c>
      <c r="G66" s="379">
        <f>ROUND('工程单价计算表'!K86/100,2)</f>
        <v>0</v>
      </c>
      <c r="H66" s="379">
        <f>ROUND('工程单价计算表'!K88/100,2)</f>
        <v>0</v>
      </c>
      <c r="I66" s="379">
        <f>ROUND('工程单价计算表'!K89/100,2)</f>
        <v>0</v>
      </c>
      <c r="J66" s="379">
        <f>ROUND('工程单价计算表'!K90/100,2)</f>
        <v>0</v>
      </c>
      <c r="K66" s="379">
        <f>ROUND('工程单价计算表'!K91/100,2)</f>
        <v>0</v>
      </c>
      <c r="L66" s="379">
        <f>ROUND('工程单价计算表'!K92/100,2)</f>
        <v>0</v>
      </c>
      <c r="M66" s="379">
        <f>ROUND('工程单价计算表'!K93/100,2)</f>
        <v>0</v>
      </c>
      <c r="N66" s="379">
        <f>ROUND('工程单价计算表'!K97/100,2)</f>
        <v>0</v>
      </c>
      <c r="O66" s="379">
        <f>ROUND('工程单价计算表'!K98/100,2)</f>
        <v>0</v>
      </c>
      <c r="P66" s="379">
        <f>'工程单价计算表'!K100</f>
        <v>0</v>
      </c>
    </row>
    <row r="67" spans="1:17" ht="18.75" customHeight="1">
      <c r="A67" s="207" t="s">
        <v>251</v>
      </c>
      <c r="B67" s="206" t="s">
        <v>252</v>
      </c>
      <c r="C67" s="207" t="s">
        <v>92</v>
      </c>
      <c r="D67" s="206" t="s">
        <v>81</v>
      </c>
      <c r="E67" s="379">
        <f>ROUND('工程单价计算表'!K1272/100,2)</f>
        <v>0</v>
      </c>
      <c r="F67" s="379">
        <f>ROUND('工程单价计算表'!K1274/100,2)</f>
        <v>0</v>
      </c>
      <c r="G67" s="379">
        <f>ROUND('工程单价计算表'!K1276/100,2)</f>
        <v>0</v>
      </c>
      <c r="H67" s="379">
        <f>ROUND('工程单价计算表'!K1281/100,2)</f>
        <v>0</v>
      </c>
      <c r="I67" s="379">
        <f>ROUND('工程单价计算表'!K1282/100,2)</f>
        <v>0</v>
      </c>
      <c r="J67" s="379">
        <f>ROUND('工程单价计算表'!K1283/100,2)</f>
        <v>0</v>
      </c>
      <c r="K67" s="379">
        <f>ROUND('工程单价计算表'!K1284/100,2)</f>
        <v>0</v>
      </c>
      <c r="L67" s="379">
        <f>ROUND('工程单价计算表'!K1285/100,2)</f>
        <v>0</v>
      </c>
      <c r="M67" s="379">
        <f>ROUND('工程单价计算表'!K1286/100,2)</f>
        <v>0</v>
      </c>
      <c r="N67" s="379">
        <f>ROUND('工程单价计算表'!K1290/100,2)</f>
        <v>0</v>
      </c>
      <c r="O67" s="379">
        <f>ROUND('工程单价计算表'!K1291/100,2)</f>
        <v>0</v>
      </c>
      <c r="P67" s="379">
        <f>'工程单价计算表'!K1293</f>
        <v>0</v>
      </c>
    </row>
    <row r="68" spans="1:16" ht="7.5" customHeight="1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</row>
    <row r="69" spans="1:16" ht="26.25" customHeight="1">
      <c r="A69" s="202" t="s">
        <v>352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ht="18.75" customHeight="1">
      <c r="A70" s="203" t="s">
        <v>24</v>
      </c>
      <c r="B70" s="20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</row>
    <row r="71" spans="1:16" ht="18.75" customHeight="1">
      <c r="A71" s="203" t="s">
        <v>25</v>
      </c>
      <c r="B71" s="203"/>
      <c r="C71" s="204" t="s">
        <v>26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5" t="s">
        <v>314</v>
      </c>
      <c r="O71" s="205"/>
      <c r="P71" s="205"/>
    </row>
    <row r="72" spans="1:17" ht="37.5" customHeight="1">
      <c r="A72" s="206" t="s">
        <v>28</v>
      </c>
      <c r="B72" s="206" t="s">
        <v>68</v>
      </c>
      <c r="C72" s="206" t="s">
        <v>69</v>
      </c>
      <c r="D72" s="206" t="s">
        <v>70</v>
      </c>
      <c r="E72" s="206" t="s">
        <v>353</v>
      </c>
      <c r="F72" s="206" t="s">
        <v>354</v>
      </c>
      <c r="G72" s="206" t="s">
        <v>355</v>
      </c>
      <c r="H72" s="206" t="s">
        <v>356</v>
      </c>
      <c r="I72" s="206" t="s">
        <v>357</v>
      </c>
      <c r="J72" s="206" t="s">
        <v>358</v>
      </c>
      <c r="K72" s="206" t="s">
        <v>359</v>
      </c>
      <c r="L72" s="206" t="s">
        <v>360</v>
      </c>
      <c r="M72" s="206" t="s">
        <v>361</v>
      </c>
      <c r="N72" s="206" t="s">
        <v>362</v>
      </c>
      <c r="O72" s="206" t="s">
        <v>363</v>
      </c>
      <c r="P72" s="206" t="s">
        <v>64</v>
      </c>
    </row>
    <row r="73" spans="1:17" ht="18.75" customHeight="1">
      <c r="A73" s="207" t="s">
        <v>254</v>
      </c>
      <c r="B73" s="206" t="s">
        <v>255</v>
      </c>
      <c r="C73" s="207" t="s">
        <v>166</v>
      </c>
      <c r="D73" s="206" t="s">
        <v>81</v>
      </c>
      <c r="E73" s="379">
        <f>ROUND('工程单价计算表'!K8/100,2)</f>
        <v>0</v>
      </c>
      <c r="F73" s="379">
        <f>ROUND('工程单价计算表'!K10/100,2)</f>
        <v>0</v>
      </c>
      <c r="G73" s="379">
        <f>ROUND('工程单价计算表'!K12/100,2)</f>
        <v>0</v>
      </c>
      <c r="H73" s="379">
        <f>ROUND('工程单价计算表'!K16/100,2)</f>
        <v>0</v>
      </c>
      <c r="I73" s="379">
        <f>ROUND('工程单价计算表'!K17/100,2)</f>
        <v>0</v>
      </c>
      <c r="J73" s="379">
        <f>ROUND('工程单价计算表'!K18/100,2)</f>
        <v>0</v>
      </c>
      <c r="K73" s="379">
        <f>ROUND('工程单价计算表'!K19/100,2)</f>
        <v>0</v>
      </c>
      <c r="L73" s="379">
        <f>ROUND('工程单价计算表'!K20/100,2)</f>
        <v>0</v>
      </c>
      <c r="M73" s="379">
        <f>ROUND('工程单价计算表'!K21/100,2)</f>
        <v>0</v>
      </c>
      <c r="N73" s="379">
        <f>ROUND('工程单价计算表'!K25/100,2)</f>
        <v>0</v>
      </c>
      <c r="O73" s="379">
        <f>ROUND('工程单价计算表'!K26/100,2)</f>
        <v>0</v>
      </c>
      <c r="P73" s="379">
        <f>'工程单价计算表'!K28</f>
        <v>0</v>
      </c>
    </row>
    <row r="74" spans="1:17" ht="24.75" customHeight="1">
      <c r="A74" s="207" t="s">
        <v>257</v>
      </c>
      <c r="B74" s="206" t="s">
        <v>258</v>
      </c>
      <c r="C74" s="207" t="s">
        <v>96</v>
      </c>
      <c r="D74" s="206" t="s">
        <v>97</v>
      </c>
      <c r="E74" s="379">
        <f>ROUND('工程单价计算表'!K193/100,2)</f>
        <v>0</v>
      </c>
      <c r="F74" s="379">
        <f>ROUND('工程单价计算表'!K196/100,2)</f>
        <v>0</v>
      </c>
      <c r="G74" s="379">
        <f>ROUND('工程单价计算表'!K199/100,2)</f>
        <v>0</v>
      </c>
      <c r="H74" s="379">
        <f>ROUND('工程单价计算表'!K207/100,2)</f>
        <v>0</v>
      </c>
      <c r="I74" s="379">
        <f>ROUND('工程单价计算表'!K208/100,2)</f>
        <v>0</v>
      </c>
      <c r="J74" s="379">
        <f>ROUND('工程单价计算表'!K209/100,2)</f>
        <v>0</v>
      </c>
      <c r="K74" s="379">
        <f>ROUND('工程单价计算表'!K210/100,2)</f>
        <v>0</v>
      </c>
      <c r="L74" s="379">
        <f>ROUND('工程单价计算表'!K211/100,2)</f>
        <v>0</v>
      </c>
      <c r="M74" s="379">
        <f>ROUND('工程单价计算表'!K212/100,2)</f>
        <v>0</v>
      </c>
      <c r="N74" s="379">
        <f>ROUND('工程单价计算表'!K216/100,2)</f>
        <v>0</v>
      </c>
      <c r="O74" s="379">
        <f>ROUND('工程单价计算表'!K217/100,2)</f>
        <v>0</v>
      </c>
      <c r="P74" s="379">
        <f>'工程单价计算表'!K219</f>
        <v>0</v>
      </c>
    </row>
    <row r="75" spans="1:17" ht="24.75" customHeight="1">
      <c r="A75" s="207" t="s">
        <v>260</v>
      </c>
      <c r="B75" s="206" t="s">
        <v>261</v>
      </c>
      <c r="C75" s="207" t="s">
        <v>102</v>
      </c>
      <c r="D75" s="206" t="s">
        <v>103</v>
      </c>
      <c r="E75" s="379">
        <f>ROUND('工程单价计算表'!K156/100,2)</f>
        <v>0</v>
      </c>
      <c r="F75" s="379">
        <f>ROUND('工程单价计算表'!K158/100,2)</f>
        <v>0</v>
      </c>
      <c r="G75" s="379">
        <f>ROUND('工程单价计算表'!K161/100,2)</f>
        <v>0</v>
      </c>
      <c r="H75" s="379">
        <f>ROUND('工程单价计算表'!K162/100,2)</f>
        <v>0</v>
      </c>
      <c r="I75" s="379">
        <f>ROUND('工程单价计算表'!K163/100,2)</f>
        <v>0</v>
      </c>
      <c r="J75" s="379">
        <f>ROUND('工程单价计算表'!K164/100,2)</f>
        <v>0</v>
      </c>
      <c r="K75" s="379">
        <f>ROUND('工程单价计算表'!K165/100,2)</f>
        <v>0</v>
      </c>
      <c r="L75" s="379">
        <f>ROUND('工程单价计算表'!K166/100,2)</f>
        <v>0</v>
      </c>
      <c r="M75" s="379">
        <f>ROUND('工程单价计算表'!K167/100,2)</f>
        <v>0</v>
      </c>
      <c r="N75" s="379">
        <f>ROUND('工程单价计算表'!K170/100,2)</f>
        <v>0</v>
      </c>
      <c r="O75" s="379">
        <f>ROUND('工程单价计算表'!K171/100,2)</f>
        <v>0</v>
      </c>
      <c r="P75" s="379">
        <f>'工程单价计算表'!K173</f>
        <v>0</v>
      </c>
    </row>
    <row r="76" spans="1:17" ht="18.75" customHeight="1">
      <c r="A76" s="207" t="s">
        <v>262</v>
      </c>
      <c r="B76" s="206" t="s">
        <v>263</v>
      </c>
      <c r="C76" s="207" t="s">
        <v>226</v>
      </c>
      <c r="D76" s="206" t="s">
        <v>81</v>
      </c>
      <c r="E76" s="379">
        <f>ROUND('工程单价计算表'!K515/100,2)</f>
        <v>0</v>
      </c>
      <c r="F76" s="379">
        <f>ROUND('工程单价计算表'!K520/100,2)</f>
        <v>0</v>
      </c>
      <c r="G76" s="379">
        <f>ROUND('工程单价计算表'!K529/100,2)</f>
        <v>0</v>
      </c>
      <c r="H76" s="379">
        <f>ROUND('工程单价计算表'!K547/100,2)</f>
        <v>0</v>
      </c>
      <c r="I76" s="379">
        <f>ROUND('工程单价计算表'!K548/100,2)</f>
        <v>0</v>
      </c>
      <c r="J76" s="379">
        <f>ROUND('工程单价计算表'!K549/100,2)</f>
        <v>0</v>
      </c>
      <c r="K76" s="379">
        <f>ROUND('工程单价计算表'!K550/100,2)</f>
        <v>0</v>
      </c>
      <c r="L76" s="379">
        <f>ROUND('工程单价计算表'!K551/100,2)</f>
        <v>0</v>
      </c>
      <c r="M76" s="379">
        <f>ROUND('工程单价计算表'!K552/100,2)</f>
        <v>0</v>
      </c>
      <c r="N76" s="379">
        <f>ROUND('工程单价计算表'!K558/100,2)</f>
        <v>0</v>
      </c>
      <c r="O76" s="379">
        <f>ROUND('工程单价计算表'!K559/100,2)</f>
        <v>0</v>
      </c>
      <c r="P76" s="379">
        <f>'工程单价计算表'!K561</f>
        <v>0</v>
      </c>
    </row>
    <row r="77" spans="1:17" ht="18.75" customHeight="1">
      <c r="A77" s="207" t="s">
        <v>264</v>
      </c>
      <c r="B77" s="206"/>
      <c r="C77" s="207" t="s">
        <v>112</v>
      </c>
      <c r="D77" s="206" t="s">
        <v>113</v>
      </c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 t="s">
        <v>419</v>
      </c>
    </row>
    <row r="78" spans="1:17" ht="18.75" customHeight="1">
      <c r="A78" s="207" t="s">
        <v>265</v>
      </c>
      <c r="B78" s="206" t="s">
        <v>266</v>
      </c>
      <c r="C78" s="207" t="s">
        <v>117</v>
      </c>
      <c r="D78" s="206" t="s">
        <v>81</v>
      </c>
      <c r="E78" s="379">
        <f>ROUND('工程单价计算表'!K265/100,2)</f>
        <v>0</v>
      </c>
      <c r="F78" s="379">
        <f>ROUND('工程单价计算表'!K267/100,2)</f>
        <v>0</v>
      </c>
      <c r="G78" s="379">
        <f>ROUND('工程单价计算表'!K271/100,2)</f>
        <v>0</v>
      </c>
      <c r="H78" s="379">
        <f>ROUND('工程单价计算表'!K272/100,2)</f>
        <v>0</v>
      </c>
      <c r="I78" s="379">
        <f>ROUND('工程单价计算表'!K273/100,2)</f>
        <v>0</v>
      </c>
      <c r="J78" s="379">
        <f>ROUND('工程单价计算表'!K274/100,2)</f>
        <v>0</v>
      </c>
      <c r="K78" s="379">
        <f>ROUND('工程单价计算表'!K275/100,2)</f>
        <v>0</v>
      </c>
      <c r="L78" s="379">
        <f>ROUND('工程单价计算表'!K276/100,2)</f>
        <v>0</v>
      </c>
      <c r="M78" s="379">
        <f>ROUND('工程单价计算表'!K277/100,2)</f>
        <v>0</v>
      </c>
      <c r="N78" s="379">
        <f>ROUND('工程单价计算表'!K281/100,2)</f>
        <v>0</v>
      </c>
      <c r="O78" s="379">
        <f>ROUND('工程单价计算表'!K282/100,2)</f>
        <v>0</v>
      </c>
      <c r="P78" s="379">
        <f>'工程单价计算表'!K284</f>
        <v>0</v>
      </c>
    </row>
    <row r="79" spans="1:17" ht="18.75" customHeight="1">
      <c r="A79" s="207" t="s">
        <v>267</v>
      </c>
      <c r="B79" s="206" t="s">
        <v>268</v>
      </c>
      <c r="C79" s="207" t="s">
        <v>121</v>
      </c>
      <c r="D79" s="206" t="s">
        <v>87</v>
      </c>
      <c r="E79" s="379">
        <f>ROUND('工程单价计算表'!K940/100,2)</f>
        <v>0</v>
      </c>
      <c r="F79" s="379">
        <f>ROUND('工程单价计算表'!K942/100,2)</f>
        <v>0</v>
      </c>
      <c r="G79" s="379">
        <f>ROUND('工程单价计算表'!K946/100,2)</f>
        <v>0</v>
      </c>
      <c r="H79" s="379">
        <f>ROUND('工程单价计算表'!K947/100,2)</f>
        <v>0</v>
      </c>
      <c r="I79" s="379">
        <f>ROUND('工程单价计算表'!K948/100,2)</f>
        <v>0</v>
      </c>
      <c r="J79" s="379">
        <f>ROUND('工程单价计算表'!K949/100,2)</f>
        <v>0</v>
      </c>
      <c r="K79" s="379">
        <f>ROUND('工程单价计算表'!K950/100,2)</f>
        <v>0</v>
      </c>
      <c r="L79" s="379">
        <f>ROUND('工程单价计算表'!K951/100,2)</f>
        <v>0</v>
      </c>
      <c r="M79" s="379">
        <f>ROUND('工程单价计算表'!K952/100,2)</f>
        <v>0</v>
      </c>
      <c r="N79" s="379">
        <f>ROUND('工程单价计算表'!K954/100,2)</f>
        <v>0</v>
      </c>
      <c r="O79" s="379">
        <f>ROUND('工程单价计算表'!K955/100,2)</f>
        <v>0</v>
      </c>
      <c r="P79" s="379">
        <f>'工程单价计算表'!K957</f>
        <v>0</v>
      </c>
    </row>
    <row r="80" spans="1:17" ht="24.75" customHeight="1">
      <c r="A80" s="207" t="s">
        <v>270</v>
      </c>
      <c r="B80" s="206" t="s">
        <v>271</v>
      </c>
      <c r="C80" s="207" t="s">
        <v>126</v>
      </c>
      <c r="D80" s="206" t="s">
        <v>97</v>
      </c>
      <c r="E80" s="379">
        <f>ROUND('工程单价计算表'!K229/100,2)</f>
        <v>0</v>
      </c>
      <c r="F80" s="379">
        <f>ROUND('工程单价计算表'!K232/100,2)</f>
        <v>0</v>
      </c>
      <c r="G80" s="379">
        <f>ROUND('工程单价计算表'!K235/100,2)</f>
        <v>0</v>
      </c>
      <c r="H80" s="379">
        <f>ROUND('工程单价计算表'!K239/100,2)</f>
        <v>0</v>
      </c>
      <c r="I80" s="379">
        <f>ROUND('工程单价计算表'!K240/100,2)</f>
        <v>0</v>
      </c>
      <c r="J80" s="379">
        <f>ROUND('工程单价计算表'!K241/100,2)</f>
        <v>0</v>
      </c>
      <c r="K80" s="379">
        <f>ROUND('工程单价计算表'!K242/100,2)</f>
        <v>0</v>
      </c>
      <c r="L80" s="379">
        <f>ROUND('工程单价计算表'!K243/100,2)</f>
        <v>0</v>
      </c>
      <c r="M80" s="379">
        <f>ROUND('工程单价计算表'!K244/100,2)</f>
        <v>0</v>
      </c>
      <c r="N80" s="379">
        <f>ROUND('工程单价计算表'!K248/100,2)</f>
        <v>0</v>
      </c>
      <c r="O80" s="379">
        <f>ROUND('工程单价计算表'!K249/100,2)</f>
        <v>0</v>
      </c>
      <c r="P80" s="379">
        <f>'工程单价计算表'!K251</f>
        <v>0</v>
      </c>
    </row>
    <row r="81" spans="1:17" ht="18.75" customHeight="1">
      <c r="A81" s="207" t="s">
        <v>273</v>
      </c>
      <c r="B81" s="206" t="s">
        <v>274</v>
      </c>
      <c r="C81" s="207" t="s">
        <v>135</v>
      </c>
      <c r="D81" s="206" t="s">
        <v>87</v>
      </c>
      <c r="E81" s="379">
        <f>ROUND('工程单价计算表'!K339/100,2)</f>
        <v>0</v>
      </c>
      <c r="F81" s="379">
        <f>ROUND('工程单价计算表'!K341/100,2)</f>
        <v>0</v>
      </c>
      <c r="G81" s="379">
        <f>ROUND('工程单价计算表'!K346/100,2)</f>
        <v>0</v>
      </c>
      <c r="H81" s="379">
        <f>ROUND('工程单价计算表'!K348/100,2)</f>
        <v>0</v>
      </c>
      <c r="I81" s="379">
        <f>ROUND('工程单价计算表'!K349/100,2)</f>
        <v>0</v>
      </c>
      <c r="J81" s="379">
        <f>ROUND('工程单价计算表'!K350/100,2)</f>
        <v>0</v>
      </c>
      <c r="K81" s="379">
        <f>ROUND('工程单价计算表'!K351/100,2)</f>
        <v>0</v>
      </c>
      <c r="L81" s="379">
        <f>ROUND('工程单价计算表'!K352/100,2)</f>
        <v>0</v>
      </c>
      <c r="M81" s="379">
        <f>ROUND('工程单价计算表'!K353/100,2)</f>
        <v>0</v>
      </c>
      <c r="N81" s="379">
        <f>ROUND('工程单价计算表'!K357/100,2)</f>
        <v>0</v>
      </c>
      <c r="O81" s="379">
        <f>ROUND('工程单价计算表'!K358/100,2)</f>
        <v>0</v>
      </c>
      <c r="P81" s="379">
        <f>'工程单价计算表'!K360</f>
        <v>0</v>
      </c>
    </row>
    <row r="82" spans="1:17" ht="18.75" customHeight="1">
      <c r="A82" s="207" t="s">
        <v>275</v>
      </c>
      <c r="B82" s="206" t="s">
        <v>276</v>
      </c>
      <c r="C82" s="207" t="s">
        <v>130</v>
      </c>
      <c r="D82" s="206" t="s">
        <v>87</v>
      </c>
      <c r="E82" s="379">
        <f>ROUND('工程单价计算表'!K866/100,2)</f>
        <v>0</v>
      </c>
      <c r="F82" s="379">
        <f>ROUND('工程单价计算表'!K869/100,2)</f>
        <v>0</v>
      </c>
      <c r="G82" s="379">
        <f>ROUND('工程单价计算表'!K880/100,2)</f>
        <v>0</v>
      </c>
      <c r="H82" s="379">
        <f>ROUND('工程单价计算表'!K888/100,2)</f>
        <v>0</v>
      </c>
      <c r="I82" s="379">
        <f>ROUND('工程单价计算表'!K889/100,2)</f>
        <v>0</v>
      </c>
      <c r="J82" s="379">
        <f>ROUND('工程单价计算表'!K890/100,2)</f>
        <v>0</v>
      </c>
      <c r="K82" s="379">
        <f>ROUND('工程单价计算表'!K891/100,2)</f>
        <v>0</v>
      </c>
      <c r="L82" s="379">
        <f>ROUND('工程单价计算表'!K892/100,2)</f>
        <v>0</v>
      </c>
      <c r="M82" s="379">
        <f>ROUND('工程单价计算表'!K893/100,2)</f>
        <v>0</v>
      </c>
      <c r="N82" s="379">
        <f>ROUND('工程单价计算表'!K905/100,2)</f>
        <v>0</v>
      </c>
      <c r="O82" s="379">
        <f>ROUND('工程单价计算表'!K906/100,2)</f>
        <v>0</v>
      </c>
      <c r="P82" s="379">
        <f>'工程单价计算表'!K908</f>
        <v>0</v>
      </c>
    </row>
    <row r="83" spans="1:16" ht="18.75" customHeight="1">
      <c r="A83" s="207" t="s">
        <v>37</v>
      </c>
      <c r="B83" s="206"/>
      <c r="C83" s="207" t="s">
        <v>38</v>
      </c>
      <c r="D83" s="206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</row>
    <row r="84" spans="1:17" ht="24.75" customHeight="1">
      <c r="A84" s="207" t="s">
        <v>277</v>
      </c>
      <c r="B84" s="206" t="s">
        <v>278</v>
      </c>
      <c r="C84" s="207" t="s">
        <v>210</v>
      </c>
      <c r="D84" s="206" t="s">
        <v>81</v>
      </c>
      <c r="E84" s="379">
        <f>ROUND('工程单价计算表'!K82/100,2)</f>
        <v>0</v>
      </c>
      <c r="F84" s="379">
        <f>ROUND('工程单价计算表'!K84/100,2)</f>
        <v>0</v>
      </c>
      <c r="G84" s="379">
        <f>ROUND('工程单价计算表'!K86/100,2)</f>
        <v>0</v>
      </c>
      <c r="H84" s="379">
        <f>ROUND('工程单价计算表'!K88/100,2)</f>
        <v>0</v>
      </c>
      <c r="I84" s="379">
        <f>ROUND('工程单价计算表'!K89/100,2)</f>
        <v>0</v>
      </c>
      <c r="J84" s="379">
        <f>ROUND('工程单价计算表'!K90/100,2)</f>
        <v>0</v>
      </c>
      <c r="K84" s="379">
        <f>ROUND('工程单价计算表'!K91/100,2)</f>
        <v>0</v>
      </c>
      <c r="L84" s="379">
        <f>ROUND('工程单价计算表'!K92/100,2)</f>
        <v>0</v>
      </c>
      <c r="M84" s="379">
        <f>ROUND('工程单价计算表'!K93/100,2)</f>
        <v>0</v>
      </c>
      <c r="N84" s="379">
        <f>ROUND('工程单价计算表'!K97/100,2)</f>
        <v>0</v>
      </c>
      <c r="O84" s="379">
        <f>ROUND('工程单价计算表'!K98/100,2)</f>
        <v>0</v>
      </c>
      <c r="P84" s="379">
        <f>'工程单价计算表'!K100</f>
        <v>0</v>
      </c>
    </row>
    <row r="85" spans="1:17" ht="18.75" customHeight="1">
      <c r="A85" s="207" t="s">
        <v>280</v>
      </c>
      <c r="B85" s="206" t="s">
        <v>281</v>
      </c>
      <c r="C85" s="207" t="s">
        <v>92</v>
      </c>
      <c r="D85" s="206" t="s">
        <v>81</v>
      </c>
      <c r="E85" s="379">
        <f>ROUND('工程单价计算表'!K1272/100,2)</f>
        <v>0</v>
      </c>
      <c r="F85" s="379">
        <f>ROUND('工程单价计算表'!K1274/100,2)</f>
        <v>0</v>
      </c>
      <c r="G85" s="379">
        <f>ROUND('工程单价计算表'!K1276/100,2)</f>
        <v>0</v>
      </c>
      <c r="H85" s="379">
        <f>ROUND('工程单价计算表'!K1281/100,2)</f>
        <v>0</v>
      </c>
      <c r="I85" s="379">
        <f>ROUND('工程单价计算表'!K1282/100,2)</f>
        <v>0</v>
      </c>
      <c r="J85" s="379">
        <f>ROUND('工程单价计算表'!K1283/100,2)</f>
        <v>0</v>
      </c>
      <c r="K85" s="379">
        <f>ROUND('工程单价计算表'!K1284/100,2)</f>
        <v>0</v>
      </c>
      <c r="L85" s="379">
        <f>ROUND('工程单价计算表'!K1285/100,2)</f>
        <v>0</v>
      </c>
      <c r="M85" s="379">
        <f>ROUND('工程单价计算表'!K1286/100,2)</f>
        <v>0</v>
      </c>
      <c r="N85" s="379">
        <f>ROUND('工程单价计算表'!K1290/100,2)</f>
        <v>0</v>
      </c>
      <c r="O85" s="379">
        <f>ROUND('工程单价计算表'!K1291/100,2)</f>
        <v>0</v>
      </c>
      <c r="P85" s="379">
        <f>'工程单价计算表'!K1293</f>
        <v>0</v>
      </c>
    </row>
    <row r="86" spans="1:17" ht="24.75" customHeight="1">
      <c r="A86" s="207" t="s">
        <v>283</v>
      </c>
      <c r="B86" s="206" t="s">
        <v>284</v>
      </c>
      <c r="C86" s="207" t="s">
        <v>96</v>
      </c>
      <c r="D86" s="206" t="s">
        <v>97</v>
      </c>
      <c r="E86" s="379">
        <f>ROUND('工程单价计算表'!K193/100,2)</f>
        <v>0</v>
      </c>
      <c r="F86" s="379">
        <f>ROUND('工程单价计算表'!K196/100,2)</f>
        <v>0</v>
      </c>
      <c r="G86" s="379">
        <f>ROUND('工程单价计算表'!K199/100,2)</f>
        <v>0</v>
      </c>
      <c r="H86" s="379">
        <f>ROUND('工程单价计算表'!K207/100,2)</f>
        <v>0</v>
      </c>
      <c r="I86" s="379">
        <f>ROUND('工程单价计算表'!K208/100,2)</f>
        <v>0</v>
      </c>
      <c r="J86" s="379">
        <f>ROUND('工程单价计算表'!K209/100,2)</f>
        <v>0</v>
      </c>
      <c r="K86" s="379">
        <f>ROUND('工程单价计算表'!K210/100,2)</f>
        <v>0</v>
      </c>
      <c r="L86" s="379">
        <f>ROUND('工程单价计算表'!K211/100,2)</f>
        <v>0</v>
      </c>
      <c r="M86" s="379">
        <f>ROUND('工程单价计算表'!K212/100,2)</f>
        <v>0</v>
      </c>
      <c r="N86" s="379">
        <f>ROUND('工程单价计算表'!K216/100,2)</f>
        <v>0</v>
      </c>
      <c r="O86" s="379">
        <f>ROUND('工程单价计算表'!K217/100,2)</f>
        <v>0</v>
      </c>
      <c r="P86" s="379">
        <f>'工程单价计算表'!K219</f>
        <v>0</v>
      </c>
    </row>
    <row r="87" spans="1:17" ht="18.75" customHeight="1">
      <c r="A87" s="207" t="s">
        <v>286</v>
      </c>
      <c r="B87" s="206" t="s">
        <v>287</v>
      </c>
      <c r="C87" s="207" t="s">
        <v>288</v>
      </c>
      <c r="D87" s="206" t="s">
        <v>87</v>
      </c>
      <c r="E87" s="379">
        <f>ROUND('工程单价计算表'!K1199/1000,2)</f>
        <v>0</v>
      </c>
      <c r="F87" s="379">
        <f>ROUND('工程单价计算表'!K1202/1000,2)</f>
        <v>0</v>
      </c>
      <c r="G87" s="379">
        <f>ROUND('工程单价计算表'!K1208/1000,2)</f>
        <v>0</v>
      </c>
      <c r="H87" s="379">
        <f>ROUND('工程单价计算表'!K1214/1000,2)</f>
        <v>0</v>
      </c>
      <c r="I87" s="379">
        <f>ROUND('工程单价计算表'!K1215/1000,2)</f>
        <v>0</v>
      </c>
      <c r="J87" s="379">
        <f>ROUND('工程单价计算表'!K1216/1000,2)</f>
        <v>0</v>
      </c>
      <c r="K87" s="379">
        <f>ROUND('工程单价计算表'!K1217/1000,2)</f>
        <v>0</v>
      </c>
      <c r="L87" s="379">
        <f>ROUND('工程单价计算表'!K1218/1000,2)</f>
        <v>0</v>
      </c>
      <c r="M87" s="379">
        <f>ROUND('工程单价计算表'!K1219/1000,2)</f>
        <v>0</v>
      </c>
      <c r="N87" s="379">
        <f>ROUND('工程单价计算表'!K1227/1000,2)</f>
        <v>0</v>
      </c>
      <c r="O87" s="379">
        <f>ROUND('工程单价计算表'!K1234/1000,2)</f>
        <v>0</v>
      </c>
      <c r="P87" s="379">
        <f>'工程单价计算表'!K1236</f>
        <v>0</v>
      </c>
    </row>
    <row r="88" spans="1:17" ht="18.75" customHeight="1">
      <c r="A88" s="207" t="s">
        <v>290</v>
      </c>
      <c r="B88" s="206" t="s">
        <v>291</v>
      </c>
      <c r="C88" s="207" t="s">
        <v>292</v>
      </c>
      <c r="D88" s="206" t="s">
        <v>81</v>
      </c>
      <c r="E88" s="379">
        <f>ROUND('工程单价计算表'!K376/100,2)</f>
        <v>0</v>
      </c>
      <c r="F88" s="379">
        <f>ROUND('工程单价计算表'!K380/100,2)</f>
        <v>0</v>
      </c>
      <c r="G88" s="379">
        <f>ROUND('工程单价计算表'!K386/100,2)</f>
        <v>0</v>
      </c>
      <c r="H88" s="379">
        <f>ROUND('工程单价计算表'!K393/100,2)</f>
        <v>0</v>
      </c>
      <c r="I88" s="379">
        <f>ROUND('工程单价计算表'!K394/100,2)</f>
        <v>0</v>
      </c>
      <c r="J88" s="379">
        <f>ROUND('工程单价计算表'!K395/100,2)</f>
        <v>0</v>
      </c>
      <c r="K88" s="379">
        <f>ROUND('工程单价计算表'!K396/100,2)</f>
        <v>0</v>
      </c>
      <c r="L88" s="379">
        <f>ROUND('工程单价计算表'!K397/100,2)</f>
        <v>0</v>
      </c>
      <c r="M88" s="379">
        <f>ROUND('工程单价计算表'!K398/100,2)</f>
        <v>0</v>
      </c>
      <c r="N88" s="379">
        <f>ROUND('工程单价计算表'!K410/100,2)</f>
        <v>0</v>
      </c>
      <c r="O88" s="379">
        <f>ROUND('工程单价计算表'!K411/100,2)</f>
        <v>0</v>
      </c>
      <c r="P88" s="379">
        <f>'工程单价计算表'!K413</f>
        <v>0</v>
      </c>
    </row>
    <row r="89" spans="1:17" ht="18.75" customHeight="1">
      <c r="A89" s="207" t="s">
        <v>294</v>
      </c>
      <c r="B89" s="206" t="s">
        <v>295</v>
      </c>
      <c r="C89" s="207" t="s">
        <v>296</v>
      </c>
      <c r="D89" s="206" t="s">
        <v>81</v>
      </c>
      <c r="E89" s="379">
        <f>ROUND('工程单价计算表'!K302/100,2)</f>
        <v>0</v>
      </c>
      <c r="F89" s="379">
        <f>ROUND('工程单价计算表'!K304/100,2)</f>
        <v>0</v>
      </c>
      <c r="G89" s="379">
        <f>ROUND('工程单价计算表'!K307/100,2)</f>
        <v>0</v>
      </c>
      <c r="H89" s="379">
        <f>ROUND('工程单价计算表'!K308/100,2)</f>
        <v>0</v>
      </c>
      <c r="I89" s="379">
        <f>ROUND('工程单价计算表'!K309/100,2)</f>
        <v>0</v>
      </c>
      <c r="J89" s="379">
        <f>ROUND('工程单价计算表'!K310/100,2)</f>
        <v>0</v>
      </c>
      <c r="K89" s="379">
        <f>ROUND('工程单价计算表'!K311/100,2)</f>
        <v>0</v>
      </c>
      <c r="L89" s="379">
        <f>ROUND('工程单价计算表'!K312/100,2)</f>
        <v>0</v>
      </c>
      <c r="M89" s="379">
        <f>ROUND('工程单价计算表'!K313/100,2)</f>
        <v>0</v>
      </c>
      <c r="N89" s="379">
        <f>ROUND('工程单价计算表'!K316/100,2)</f>
        <v>0</v>
      </c>
      <c r="O89" s="379">
        <f>ROUND('工程单价计算表'!K317/100,2)</f>
        <v>0</v>
      </c>
      <c r="P89" s="379">
        <f>'工程单价计算表'!K319</f>
        <v>0</v>
      </c>
    </row>
    <row r="90" spans="1:16" ht="7.5" customHeigh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ht="26.25" customHeight="1">
      <c r="A91" s="202" t="s">
        <v>352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 ht="18.75" customHeight="1">
      <c r="A92" s="203" t="s">
        <v>24</v>
      </c>
      <c r="B92" s="203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ht="18.75" customHeight="1">
      <c r="A93" s="203" t="s">
        <v>25</v>
      </c>
      <c r="B93" s="203"/>
      <c r="C93" s="204" t="s">
        <v>26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5" t="s">
        <v>335</v>
      </c>
      <c r="O93" s="205"/>
      <c r="P93" s="205"/>
    </row>
    <row r="94" spans="1:17" ht="37.5" customHeight="1">
      <c r="A94" s="206" t="s">
        <v>28</v>
      </c>
      <c r="B94" s="206" t="s">
        <v>68</v>
      </c>
      <c r="C94" s="206" t="s">
        <v>69</v>
      </c>
      <c r="D94" s="206" t="s">
        <v>70</v>
      </c>
      <c r="E94" s="206" t="s">
        <v>353</v>
      </c>
      <c r="F94" s="206" t="s">
        <v>354</v>
      </c>
      <c r="G94" s="206" t="s">
        <v>355</v>
      </c>
      <c r="H94" s="206" t="s">
        <v>356</v>
      </c>
      <c r="I94" s="206" t="s">
        <v>357</v>
      </c>
      <c r="J94" s="206" t="s">
        <v>358</v>
      </c>
      <c r="K94" s="206" t="s">
        <v>359</v>
      </c>
      <c r="L94" s="206" t="s">
        <v>360</v>
      </c>
      <c r="M94" s="206" t="s">
        <v>361</v>
      </c>
      <c r="N94" s="206" t="s">
        <v>362</v>
      </c>
      <c r="O94" s="206" t="s">
        <v>363</v>
      </c>
      <c r="P94" s="206" t="s">
        <v>64</v>
      </c>
    </row>
    <row r="95" spans="1:17" ht="24.75" customHeight="1">
      <c r="A95" s="207" t="s">
        <v>298</v>
      </c>
      <c r="B95" s="206" t="s">
        <v>299</v>
      </c>
      <c r="C95" s="207" t="s">
        <v>300</v>
      </c>
      <c r="D95" s="206" t="s">
        <v>113</v>
      </c>
      <c r="E95" s="379">
        <f>ROUND('工程单价计算表'!K1088/100,2)</f>
        <v>0</v>
      </c>
      <c r="F95" s="379">
        <f>ROUND('工程单价计算表'!K1090/100,2)</f>
        <v>0</v>
      </c>
      <c r="G95" s="379">
        <f>ROUND('工程单价计算表'!K1093/100,2)</f>
        <v>0</v>
      </c>
      <c r="H95" s="379">
        <f>ROUND('工程单价计算表'!K1097/100,2)</f>
        <v>0</v>
      </c>
      <c r="I95" s="379">
        <f>ROUND('工程单价计算表'!K1098/100,2)</f>
        <v>0</v>
      </c>
      <c r="J95" s="379">
        <f>ROUND('工程单价计算表'!K1099/100,2)</f>
        <v>0</v>
      </c>
      <c r="K95" s="379">
        <f>ROUND('工程单价计算表'!K1100/100,2)</f>
        <v>0</v>
      </c>
      <c r="L95" s="379">
        <f>ROUND('工程单价计算表'!K1101/100,2)</f>
        <v>0</v>
      </c>
      <c r="M95" s="379">
        <f>ROUND('工程单价计算表'!K1104/100,2)</f>
        <v>0</v>
      </c>
      <c r="N95" s="379">
        <f>ROUND('工程单价计算表'!K1109/100,2)</f>
        <v>0</v>
      </c>
      <c r="O95" s="379">
        <f>ROUND('工程单价计算表'!K1110/100,2)</f>
        <v>0</v>
      </c>
      <c r="P95" s="379">
        <f>'工程单价计算表'!K1112</f>
        <v>0</v>
      </c>
    </row>
    <row r="96" spans="1:17" ht="24.75" customHeight="1">
      <c r="A96" s="207" t="s">
        <v>303</v>
      </c>
      <c r="B96" s="206" t="s">
        <v>304</v>
      </c>
      <c r="C96" s="207" t="s">
        <v>305</v>
      </c>
      <c r="D96" s="206" t="s">
        <v>113</v>
      </c>
      <c r="E96" s="379">
        <f>ROUND('工程单价计算表'!K1051/100,2)</f>
        <v>0</v>
      </c>
      <c r="F96" s="379">
        <f>ROUND('工程单价计算表'!K1053/100,2)</f>
        <v>0</v>
      </c>
      <c r="G96" s="379">
        <f>ROUND('工程单价计算表'!K1056/100,2)</f>
        <v>0</v>
      </c>
      <c r="H96" s="379">
        <f>ROUND('工程单价计算表'!K1061/100,2)</f>
        <v>0</v>
      </c>
      <c r="I96" s="379">
        <f>ROUND('工程单价计算表'!K1062/100,2)</f>
        <v>0</v>
      </c>
      <c r="J96" s="379">
        <f>ROUND('工程单价计算表'!K1063/100,2)</f>
        <v>0</v>
      </c>
      <c r="K96" s="379">
        <f>ROUND('工程单价计算表'!K1064/100,2)</f>
        <v>0</v>
      </c>
      <c r="L96" s="379">
        <f>ROUND('工程单价计算表'!K1065/100,2)</f>
        <v>0</v>
      </c>
      <c r="M96" s="379">
        <f>ROUND('工程单价计算表'!K1068/100,2)</f>
        <v>0</v>
      </c>
      <c r="N96" s="379">
        <f>ROUND('工程单价计算表'!K1073/100,2)</f>
        <v>0</v>
      </c>
      <c r="O96" s="379">
        <f>ROUND('工程单价计算表'!K1074/100,2)</f>
        <v>0</v>
      </c>
      <c r="P96" s="379">
        <f>'工程单价计算表'!K1076</f>
        <v>0</v>
      </c>
    </row>
    <row r="97" spans="1:17" ht="24.75" customHeight="1">
      <c r="A97" s="207" t="s">
        <v>307</v>
      </c>
      <c r="B97" s="206" t="s">
        <v>308</v>
      </c>
      <c r="C97" s="207" t="s">
        <v>309</v>
      </c>
      <c r="D97" s="206" t="s">
        <v>113</v>
      </c>
      <c r="E97" s="379">
        <f>ROUND('工程单价计算表'!K1125/100,2)</f>
        <v>0</v>
      </c>
      <c r="F97" s="379">
        <f>ROUND('工程单价计算表'!K1127/100,2)</f>
        <v>0</v>
      </c>
      <c r="G97" s="379">
        <f>ROUND('工程单价计算表'!K1130/100,2)</f>
        <v>0</v>
      </c>
      <c r="H97" s="379">
        <f>ROUND('工程单价计算表'!K1135/100,2)</f>
        <v>0</v>
      </c>
      <c r="I97" s="379">
        <f>ROUND('工程单价计算表'!K1136/100,2)</f>
        <v>0</v>
      </c>
      <c r="J97" s="379">
        <f>ROUND('工程单价计算表'!K1137/100,2)</f>
        <v>0</v>
      </c>
      <c r="K97" s="379">
        <f>ROUND('工程单价计算表'!K1138/100,2)</f>
        <v>0</v>
      </c>
      <c r="L97" s="379">
        <f>ROUND('工程单价计算表'!K1139/100,2)</f>
        <v>0</v>
      </c>
      <c r="M97" s="379">
        <f>ROUND('工程单价计算表'!K1142/100,2)</f>
        <v>0</v>
      </c>
      <c r="N97" s="379">
        <f>ROUND('工程单价计算表'!K1147/100,2)</f>
        <v>0</v>
      </c>
      <c r="O97" s="379">
        <f>ROUND('工程单价计算表'!K1148/100,2)</f>
        <v>0</v>
      </c>
      <c r="P97" s="379">
        <f>'工程单价计算表'!K1150</f>
        <v>0</v>
      </c>
    </row>
    <row r="98" spans="1:17" ht="24.75" customHeight="1">
      <c r="A98" s="207" t="s">
        <v>310</v>
      </c>
      <c r="B98" s="206" t="s">
        <v>311</v>
      </c>
      <c r="C98" s="207" t="s">
        <v>312</v>
      </c>
      <c r="D98" s="206" t="s">
        <v>113</v>
      </c>
      <c r="E98" s="379">
        <f>ROUND('工程单价计算表'!K1162/100,2)</f>
        <v>0</v>
      </c>
      <c r="F98" s="379">
        <f>ROUND('工程单价计算表'!K1164/100,2)</f>
        <v>0</v>
      </c>
      <c r="G98" s="379">
        <f>ROUND('工程单价计算表'!K1167/100,2)</f>
        <v>0</v>
      </c>
      <c r="H98" s="379">
        <f>ROUND('工程单价计算表'!K1172/100,2)</f>
        <v>0</v>
      </c>
      <c r="I98" s="379">
        <f>ROUND('工程单价计算表'!K1173/100,2)</f>
        <v>0</v>
      </c>
      <c r="J98" s="379">
        <f>ROUND('工程单价计算表'!K1174/100,2)</f>
        <v>0</v>
      </c>
      <c r="K98" s="379">
        <f>ROUND('工程单价计算表'!K1175/100,2)</f>
        <v>0</v>
      </c>
      <c r="L98" s="379">
        <f>ROUND('工程单价计算表'!K1176/100,2)</f>
        <v>0</v>
      </c>
      <c r="M98" s="379">
        <f>ROUND('工程单价计算表'!K1179/100,2)</f>
        <v>0</v>
      </c>
      <c r="N98" s="379">
        <f>ROUND('工程单价计算表'!K1184/100,2)</f>
        <v>0</v>
      </c>
      <c r="O98" s="379">
        <f>ROUND('工程单价计算表'!K1185/100,2)</f>
        <v>0</v>
      </c>
      <c r="P98" s="379">
        <f>'工程单价计算表'!K1187</f>
        <v>0</v>
      </c>
    </row>
    <row r="99" spans="1:17" ht="18.75" customHeight="1">
      <c r="A99" s="207" t="s">
        <v>315</v>
      </c>
      <c r="B99" s="206" t="s">
        <v>316</v>
      </c>
      <c r="C99" s="207" t="s">
        <v>317</v>
      </c>
      <c r="D99" s="206" t="s">
        <v>81</v>
      </c>
      <c r="E99" s="379">
        <f>ROUND('工程单价计算表'!K652/100,2)</f>
        <v>0</v>
      </c>
      <c r="F99" s="379">
        <f>ROUND('工程单价计算表'!K656/100,2)</f>
        <v>0</v>
      </c>
      <c r="G99" s="379">
        <f>ROUND('工程单价计算表'!K662/100,2)</f>
        <v>0</v>
      </c>
      <c r="H99" s="379">
        <f>ROUND('工程单价计算表'!K669/100,2)</f>
        <v>0</v>
      </c>
      <c r="I99" s="379">
        <f>ROUND('工程单价计算表'!K670/100,2)</f>
        <v>0</v>
      </c>
      <c r="J99" s="379">
        <f>ROUND('工程单价计算表'!K671/100,2)</f>
        <v>0</v>
      </c>
      <c r="K99" s="379">
        <f>ROUND('工程单价计算表'!K672/100,2)</f>
        <v>0</v>
      </c>
      <c r="L99" s="379">
        <f>ROUND('工程单价计算表'!K673/100,2)</f>
        <v>0</v>
      </c>
      <c r="M99" s="379">
        <f>ROUND('工程单价计算表'!K674/100,2)</f>
        <v>0</v>
      </c>
      <c r="N99" s="379">
        <f>ROUND('工程单价计算表'!K686/100,2)</f>
        <v>0</v>
      </c>
      <c r="O99" s="379">
        <f>ROUND('工程单价计算表'!K687/100,2)</f>
        <v>0</v>
      </c>
      <c r="P99" s="379">
        <f>'工程单价计算表'!K689</f>
        <v>0</v>
      </c>
    </row>
    <row r="100" spans="1:17" ht="18.75" customHeight="1">
      <c r="A100" s="207" t="s">
        <v>319</v>
      </c>
      <c r="B100" s="206" t="s">
        <v>320</v>
      </c>
      <c r="C100" s="207" t="s">
        <v>321</v>
      </c>
      <c r="D100" s="206" t="s">
        <v>81</v>
      </c>
      <c r="E100" s="379">
        <f>ROUND('工程单价计算表'!K446/100,2)</f>
        <v>0</v>
      </c>
      <c r="F100" s="379">
        <f>ROUND('工程单价计算表'!K450/100,2)</f>
        <v>0</v>
      </c>
      <c r="G100" s="379">
        <f>ROUND('工程单价计算表'!K456/100,2)</f>
        <v>0</v>
      </c>
      <c r="H100" s="379">
        <f>ROUND('工程单价计算表'!K463/100,2)</f>
        <v>0</v>
      </c>
      <c r="I100" s="379">
        <f>ROUND('工程单价计算表'!K464/100,2)</f>
        <v>0</v>
      </c>
      <c r="J100" s="379">
        <f>ROUND('工程单价计算表'!K465/100,2)</f>
        <v>0</v>
      </c>
      <c r="K100" s="379">
        <f>ROUND('工程单价计算表'!K466/100,2)</f>
        <v>0</v>
      </c>
      <c r="L100" s="379">
        <f>ROUND('工程单价计算表'!K467/100,2)</f>
        <v>0</v>
      </c>
      <c r="M100" s="379">
        <f>ROUND('工程单价计算表'!K468/100,2)</f>
        <v>0</v>
      </c>
      <c r="N100" s="379">
        <f>ROUND('工程单价计算表'!K480/100,2)</f>
        <v>0</v>
      </c>
      <c r="O100" s="379">
        <f>ROUND('工程单价计算表'!K481/100,2)</f>
        <v>0</v>
      </c>
      <c r="P100" s="379">
        <f>'工程单价计算表'!K483</f>
        <v>0</v>
      </c>
    </row>
    <row r="101" spans="1:17" ht="18.75" customHeight="1">
      <c r="A101" s="207" t="s">
        <v>323</v>
      </c>
      <c r="B101" s="206" t="s">
        <v>324</v>
      </c>
      <c r="C101" s="207" t="s">
        <v>130</v>
      </c>
      <c r="D101" s="206" t="s">
        <v>87</v>
      </c>
      <c r="E101" s="379">
        <f>ROUND('工程单价计算表'!K866/100,2)</f>
        <v>0</v>
      </c>
      <c r="F101" s="379">
        <f>ROUND('工程单价计算表'!K869/100,2)</f>
        <v>0</v>
      </c>
      <c r="G101" s="379">
        <f>ROUND('工程单价计算表'!K880/100,2)</f>
        <v>0</v>
      </c>
      <c r="H101" s="379">
        <f>ROUND('工程单价计算表'!K888/100,2)</f>
        <v>0</v>
      </c>
      <c r="I101" s="379">
        <f>ROUND('工程单价计算表'!K889/100,2)</f>
        <v>0</v>
      </c>
      <c r="J101" s="379">
        <f>ROUND('工程单价计算表'!K890/100,2)</f>
        <v>0</v>
      </c>
      <c r="K101" s="379">
        <f>ROUND('工程单价计算表'!K891/100,2)</f>
        <v>0</v>
      </c>
      <c r="L101" s="379">
        <f>ROUND('工程单价计算表'!K892/100,2)</f>
        <v>0</v>
      </c>
      <c r="M101" s="379">
        <f>ROUND('工程单价计算表'!K893/100,2)</f>
        <v>0</v>
      </c>
      <c r="N101" s="379">
        <f>ROUND('工程单价计算表'!K905/100,2)</f>
        <v>0</v>
      </c>
      <c r="O101" s="379">
        <f>ROUND('工程单价计算表'!K906/100,2)</f>
        <v>0</v>
      </c>
      <c r="P101" s="379">
        <f>'工程单价计算表'!K908</f>
        <v>0</v>
      </c>
    </row>
    <row r="102" spans="1:16" ht="18.75" customHeight="1">
      <c r="A102" s="207" t="s">
        <v>40</v>
      </c>
      <c r="B102" s="206"/>
      <c r="C102" s="207" t="s">
        <v>41</v>
      </c>
      <c r="D102" s="206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</row>
    <row r="103" spans="1:17" ht="24.75" customHeight="1">
      <c r="A103" s="207" t="s">
        <v>326</v>
      </c>
      <c r="B103" s="206" t="s">
        <v>327</v>
      </c>
      <c r="C103" s="207" t="s">
        <v>328</v>
      </c>
      <c r="D103" s="206" t="s">
        <v>81</v>
      </c>
      <c r="E103" s="379">
        <f>ROUND('工程单价计算表'!K1309/10000,2)</f>
        <v>0</v>
      </c>
      <c r="F103" s="379">
        <f>ROUND('工程单价计算表'!K1311/10000,2)</f>
        <v>0</v>
      </c>
      <c r="G103" s="379">
        <f>ROUND('工程单价计算表'!K1312/10000,2)</f>
        <v>0</v>
      </c>
      <c r="H103" s="379">
        <f>ROUND('工程单价计算表'!K1318/10000,2)</f>
        <v>0</v>
      </c>
      <c r="I103" s="379">
        <f>ROUND('工程单价计算表'!K1319/10000,2)</f>
        <v>0</v>
      </c>
      <c r="J103" s="379">
        <f>ROUND('工程单价计算表'!K1320/10000,2)</f>
        <v>0</v>
      </c>
      <c r="K103" s="379">
        <f>ROUND('工程单价计算表'!K1321/10000,2)</f>
        <v>0</v>
      </c>
      <c r="L103" s="379">
        <f>ROUND('工程单价计算表'!K1322/10000,2)</f>
        <v>0</v>
      </c>
      <c r="M103" s="379">
        <f>ROUND('工程单价计算表'!K1323/10000,2)</f>
        <v>0</v>
      </c>
      <c r="N103" s="379">
        <f>ROUND('工程单价计算表'!K1327/10000,2)</f>
        <v>0</v>
      </c>
      <c r="O103" s="379">
        <f>ROUND('工程单价计算表'!K1328/10000,2)</f>
        <v>0</v>
      </c>
      <c r="P103" s="379">
        <f>'工程单价计算表'!K1330</f>
        <v>0</v>
      </c>
    </row>
    <row r="104" spans="1:17" ht="24.75" customHeight="1">
      <c r="A104" s="207" t="s">
        <v>331</v>
      </c>
      <c r="B104" s="206" t="s">
        <v>332</v>
      </c>
      <c r="C104" s="207" t="s">
        <v>333</v>
      </c>
      <c r="D104" s="206" t="s">
        <v>81</v>
      </c>
      <c r="E104" s="379">
        <f>ROUND('工程单价计算表'!K1345/100,2)</f>
        <v>0</v>
      </c>
      <c r="F104" s="379">
        <f>ROUND('工程单价计算表'!K1347/100,2)</f>
        <v>0</v>
      </c>
      <c r="G104" s="379">
        <f>ROUND('工程单价计算表'!K1349/100,2)</f>
        <v>0</v>
      </c>
      <c r="H104" s="379">
        <f>ROUND('工程单价计算表'!K1352/100,2)</f>
        <v>0</v>
      </c>
      <c r="I104" s="379">
        <f>ROUND('工程单价计算表'!K1353/100,2)</f>
        <v>0</v>
      </c>
      <c r="J104" s="379">
        <f>ROUND('工程单价计算表'!K1354/100,2)</f>
        <v>0</v>
      </c>
      <c r="K104" s="379">
        <f>ROUND('工程单价计算表'!K1355/100,2)</f>
        <v>0</v>
      </c>
      <c r="L104" s="379">
        <f>ROUND('工程单价计算表'!K1356/100,2)</f>
        <v>0</v>
      </c>
      <c r="M104" s="379">
        <f>ROUND('工程单价计算表'!K1357/100,2)</f>
        <v>0</v>
      </c>
      <c r="N104" s="379">
        <f>ROUND('工程单价计算表'!K1361/100,2)</f>
        <v>0</v>
      </c>
      <c r="O104" s="379">
        <f>ROUND('工程单价计算表'!K1362/100,2)</f>
        <v>0</v>
      </c>
      <c r="P104" s="379">
        <f>'工程单价计算表'!K1364</f>
        <v>0</v>
      </c>
    </row>
    <row r="105" spans="1:16" ht="18.75" customHeight="1">
      <c r="A105" s="207" t="s">
        <v>43</v>
      </c>
      <c r="B105" s="206"/>
      <c r="C105" s="207" t="s">
        <v>44</v>
      </c>
      <c r="D105" s="206" t="s">
        <v>334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</row>
    <row r="106" spans="1:16" ht="18.75" customHeight="1">
      <c r="A106" s="207" t="s">
        <v>46</v>
      </c>
      <c r="B106" s="206"/>
      <c r="C106" s="207" t="s">
        <v>47</v>
      </c>
      <c r="D106" s="206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</row>
    <row r="107" spans="1:17" ht="24.75" customHeight="1">
      <c r="A107" s="207" t="s">
        <v>341</v>
      </c>
      <c r="B107" s="206" t="s">
        <v>342</v>
      </c>
      <c r="C107" s="207" t="s">
        <v>343</v>
      </c>
      <c r="D107" s="206" t="s">
        <v>81</v>
      </c>
      <c r="E107" s="379">
        <f>ROUND('工程单价计算表'!K977/100,2)</f>
        <v>0</v>
      </c>
      <c r="F107" s="379">
        <f>ROUND('工程单价计算表'!K979/100,2)</f>
        <v>0</v>
      </c>
      <c r="G107" s="379">
        <f>ROUND('工程单价计算表'!K982/100,2)</f>
        <v>0</v>
      </c>
      <c r="H107" s="379">
        <f>ROUND('工程单价计算表'!K983/100,2)</f>
        <v>0</v>
      </c>
      <c r="I107" s="379">
        <f>ROUND('工程单价计算表'!K984/100,2)</f>
        <v>0</v>
      </c>
      <c r="J107" s="379">
        <f>ROUND('工程单价计算表'!K985/100,2)</f>
        <v>0</v>
      </c>
      <c r="K107" s="379">
        <f>ROUND('工程单价计算表'!K986/100,2)</f>
        <v>0</v>
      </c>
      <c r="L107" s="379">
        <f>ROUND('工程单价计算表'!K987/100,2)</f>
        <v>0</v>
      </c>
      <c r="M107" s="379">
        <f>ROUND('工程单价计算表'!K988/100,2)</f>
        <v>0</v>
      </c>
      <c r="N107" s="379">
        <f>ROUND('工程单价计算表'!K990/100,2)</f>
        <v>0</v>
      </c>
      <c r="O107" s="379">
        <f>ROUND('工程单价计算表'!K991/100,2)</f>
        <v>0</v>
      </c>
      <c r="P107" s="379">
        <f>'工程单价计算表'!K993</f>
        <v>0</v>
      </c>
    </row>
    <row r="108" spans="1:17" ht="24.75" customHeight="1">
      <c r="A108" s="207" t="s">
        <v>89</v>
      </c>
      <c r="B108" s="206" t="s">
        <v>345</v>
      </c>
      <c r="C108" s="207" t="s">
        <v>346</v>
      </c>
      <c r="D108" s="206" t="s">
        <v>81</v>
      </c>
      <c r="E108" s="379">
        <f>ROUND('工程单价计算表'!K119/100,2)</f>
        <v>0</v>
      </c>
      <c r="F108" s="379">
        <f>ROUND('工程单价计算表'!K121/100,2)</f>
        <v>0</v>
      </c>
      <c r="G108" s="379">
        <f>ROUND('工程单价计算表'!K123/100,2)</f>
        <v>0</v>
      </c>
      <c r="H108" s="379">
        <f>ROUND('工程单价计算表'!K127/100,2)</f>
        <v>0</v>
      </c>
      <c r="I108" s="379">
        <f>ROUND('工程单价计算表'!K128/100,2)</f>
        <v>0</v>
      </c>
      <c r="J108" s="379">
        <f>ROUND('工程单价计算表'!K129/100,2)</f>
        <v>0</v>
      </c>
      <c r="K108" s="379">
        <f>ROUND('工程单价计算表'!K130/100,2)</f>
        <v>0</v>
      </c>
      <c r="L108" s="379">
        <f>ROUND('工程单价计算表'!K131/100,2)</f>
        <v>0</v>
      </c>
      <c r="M108" s="379">
        <f>ROUND('工程单价计算表'!K132/100,2)</f>
        <v>0</v>
      </c>
      <c r="N108" s="379">
        <f>ROUND('工程单价计算表'!K136/100,2)</f>
        <v>0</v>
      </c>
      <c r="O108" s="379">
        <f>ROUND('工程单价计算表'!K137/100,2)</f>
        <v>0</v>
      </c>
      <c r="P108" s="379">
        <f>'工程单价计算表'!K139</f>
        <v>0</v>
      </c>
    </row>
    <row r="109" spans="1:17" ht="24.75" customHeight="1">
      <c r="A109" s="207" t="s">
        <v>49</v>
      </c>
      <c r="B109" s="206"/>
      <c r="C109" s="207" t="s">
        <v>50</v>
      </c>
      <c r="D109" s="206" t="s">
        <v>347</v>
      </c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 t="s">
        <v>647</v>
      </c>
    </row>
    <row r="110" spans="1:16" ht="18.75" customHeight="1">
      <c r="A110" s="207" t="s">
        <v>52</v>
      </c>
      <c r="B110" s="206"/>
      <c r="C110" s="207" t="s">
        <v>53</v>
      </c>
      <c r="D110" s="206" t="s">
        <v>334</v>
      </c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</row>
    <row r="111" spans="1:16" ht="7.5" customHeigh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</row>
    <row r="112" spans="1:16" ht="26.25" customHeight="1">
      <c r="A112" s="202" t="s">
        <v>352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</row>
    <row r="113" spans="1:16" ht="18.75" customHeight="1">
      <c r="A113" s="203" t="s">
        <v>24</v>
      </c>
      <c r="B113" s="203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</row>
    <row r="114" spans="1:16" ht="18.75" customHeight="1">
      <c r="A114" s="203" t="s">
        <v>25</v>
      </c>
      <c r="B114" s="203"/>
      <c r="C114" s="204" t="s">
        <v>26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5" t="s">
        <v>340</v>
      </c>
      <c r="O114" s="205"/>
      <c r="P114" s="205"/>
    </row>
    <row r="115" spans="1:17" ht="37.5" customHeight="1">
      <c r="A115" s="206" t="s">
        <v>28</v>
      </c>
      <c r="B115" s="206" t="s">
        <v>68</v>
      </c>
      <c r="C115" s="206" t="s">
        <v>69</v>
      </c>
      <c r="D115" s="206" t="s">
        <v>70</v>
      </c>
      <c r="E115" s="206" t="s">
        <v>353</v>
      </c>
      <c r="F115" s="206" t="s">
        <v>354</v>
      </c>
      <c r="G115" s="206" t="s">
        <v>355</v>
      </c>
      <c r="H115" s="206" t="s">
        <v>356</v>
      </c>
      <c r="I115" s="206" t="s">
        <v>357</v>
      </c>
      <c r="J115" s="206" t="s">
        <v>358</v>
      </c>
      <c r="K115" s="206" t="s">
        <v>359</v>
      </c>
      <c r="L115" s="206" t="s">
        <v>360</v>
      </c>
      <c r="M115" s="206" t="s">
        <v>361</v>
      </c>
      <c r="N115" s="206" t="s">
        <v>362</v>
      </c>
      <c r="O115" s="206" t="s">
        <v>363</v>
      </c>
      <c r="P115" s="206" t="s">
        <v>64</v>
      </c>
    </row>
    <row r="116" spans="1:16" ht="18.75" customHeight="1">
      <c r="A116" s="207" t="s">
        <v>55</v>
      </c>
      <c r="B116" s="206"/>
      <c r="C116" s="207" t="s">
        <v>56</v>
      </c>
      <c r="D116" s="206" t="s">
        <v>334</v>
      </c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</row>
    <row r="117" spans="1:16" ht="18.75" customHeight="1">
      <c r="A117" s="207"/>
      <c r="B117" s="206"/>
      <c r="C117" s="207"/>
      <c r="D117" s="206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</row>
    <row r="118" spans="1:16" ht="18.75" customHeight="1">
      <c r="A118" s="207"/>
      <c r="B118" s="206"/>
      <c r="C118" s="207"/>
      <c r="D118" s="206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</row>
    <row r="119" spans="1:16" ht="18.75" customHeight="1">
      <c r="A119" s="207"/>
      <c r="B119" s="206"/>
      <c r="C119" s="207"/>
      <c r="D119" s="206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</row>
    <row r="120" spans="1:16" ht="18.75" customHeight="1">
      <c r="A120" s="207"/>
      <c r="B120" s="206"/>
      <c r="C120" s="207"/>
      <c r="D120" s="206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</row>
    <row r="121" spans="1:16" ht="18.75" customHeight="1">
      <c r="A121" s="207"/>
      <c r="B121" s="206"/>
      <c r="C121" s="207"/>
      <c r="D121" s="206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</row>
    <row r="122" spans="1:16" ht="18.75" customHeight="1">
      <c r="A122" s="207"/>
      <c r="B122" s="206"/>
      <c r="C122" s="207"/>
      <c r="D122" s="206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</row>
    <row r="123" spans="1:16" ht="18.75" customHeight="1">
      <c r="A123" s="207"/>
      <c r="B123" s="206"/>
      <c r="C123" s="207"/>
      <c r="D123" s="206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</row>
    <row r="124" spans="1:16" ht="18.75" customHeight="1">
      <c r="A124" s="207"/>
      <c r="B124" s="206"/>
      <c r="C124" s="207"/>
      <c r="D124" s="206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</row>
    <row r="125" spans="1:16" ht="18.75" customHeight="1">
      <c r="A125" s="207"/>
      <c r="B125" s="206"/>
      <c r="C125" s="207"/>
      <c r="D125" s="206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</row>
    <row r="126" spans="1:16" ht="18.75" customHeight="1">
      <c r="A126" s="207"/>
      <c r="B126" s="206"/>
      <c r="C126" s="207"/>
      <c r="D126" s="206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</row>
    <row r="127" spans="1:16" ht="18.75" customHeight="1">
      <c r="A127" s="207"/>
      <c r="B127" s="206"/>
      <c r="C127" s="207"/>
      <c r="D127" s="206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</row>
    <row r="128" spans="1:16" ht="18.75" customHeight="1">
      <c r="A128" s="207"/>
      <c r="B128" s="206"/>
      <c r="C128" s="207"/>
      <c r="D128" s="206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</row>
    <row r="129" spans="1:16" ht="18.75" customHeight="1">
      <c r="A129" s="207"/>
      <c r="B129" s="206"/>
      <c r="C129" s="207"/>
      <c r="D129" s="206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</row>
    <row r="130" spans="1:16" ht="18.75" customHeight="1">
      <c r="A130" s="207"/>
      <c r="B130" s="206"/>
      <c r="C130" s="207"/>
      <c r="D130" s="206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</row>
    <row r="131" spans="1:16" ht="18.75" customHeight="1">
      <c r="A131" s="207"/>
      <c r="B131" s="206"/>
      <c r="C131" s="207"/>
      <c r="D131" s="206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</row>
    <row r="132" spans="1:16" ht="18.75" customHeight="1">
      <c r="A132" s="207"/>
      <c r="B132" s="206"/>
      <c r="C132" s="207"/>
      <c r="D132" s="206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</row>
    <row r="133" spans="1:16" ht="18.75" customHeight="1">
      <c r="A133" s="207"/>
      <c r="B133" s="206"/>
      <c r="C133" s="207"/>
      <c r="D133" s="206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</row>
    <row r="134" spans="1:16" ht="18.75" customHeight="1">
      <c r="A134" s="207"/>
      <c r="B134" s="206"/>
      <c r="C134" s="207"/>
      <c r="D134" s="206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</row>
  </sheetData>
  <mergeCells count="36">
    <mergeCell ref="A2:P2"/>
    <mergeCell ref="A3:B3"/>
    <mergeCell ref="C3:P3"/>
    <mergeCell ref="A4:B4"/>
    <mergeCell ref="C4:M4"/>
    <mergeCell ref="N4:P4"/>
    <mergeCell ref="A25:P25"/>
    <mergeCell ref="A26:B26"/>
    <mergeCell ref="C26:P26"/>
    <mergeCell ref="A27:B27"/>
    <mergeCell ref="C27:M27"/>
    <mergeCell ref="N27:P27"/>
    <mergeCell ref="A47:P47"/>
    <mergeCell ref="A48:B48"/>
    <mergeCell ref="C48:P48"/>
    <mergeCell ref="A49:B49"/>
    <mergeCell ref="C49:M49"/>
    <mergeCell ref="N49:P49"/>
    <mergeCell ref="A69:P69"/>
    <mergeCell ref="A70:B70"/>
    <mergeCell ref="C70:P70"/>
    <mergeCell ref="A71:B71"/>
    <mergeCell ref="C71:M71"/>
    <mergeCell ref="N71:P71"/>
    <mergeCell ref="A91:P91"/>
    <mergeCell ref="A92:B92"/>
    <mergeCell ref="C92:P92"/>
    <mergeCell ref="A93:B93"/>
    <mergeCell ref="C93:M93"/>
    <mergeCell ref="N93:P93"/>
    <mergeCell ref="A112:P112"/>
    <mergeCell ref="A113:B113"/>
    <mergeCell ref="C113:P113"/>
    <mergeCell ref="A114:B114"/>
    <mergeCell ref="C114:M114"/>
    <mergeCell ref="N114:P114"/>
  </mergeCells>
  <printOptions horizontalCentered="1"/>
  <pageMargins left="0" right="0" top="0.9055099999999999" bottom="0" header="0.55118" footer="0.3937"/>
  <pageSetup firstPageNumber="11" useFirstPageNumber="1" horizontalDpi="300" verticalDpi="300" orientation="landscape" pageOrder="overThenDown" paperSize="9"/>
  <headerFooter alignWithMargins="0">
    <oddFooter>&amp;L&amp;C&amp;P&amp;R</oddFooter>
  </headerFooter>
  <rowBreaks count="5" manualBreakCount="5">
    <brk id="23" max="255" man="1"/>
    <brk id="45" max="255" man="1"/>
    <brk id="67" max="255" man="1"/>
    <brk id="89" max="255" man="1"/>
    <brk id="1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7"/>
  <sheetViews>
    <sheetView workbookViewId="0" topLeftCell="A1">
      <selection activeCell="A1" sqref="A1"/>
    </sheetView>
  </sheetViews>
  <sheetFormatPr defaultColWidth="12.57421875" defaultRowHeight="18.75" customHeight="1"/>
  <cols>
    <col min="1" max="1" width="5.7109375" style="0" customWidth="1"/>
    <col min="2" max="2" width="4.28125" style="0" customWidth="1"/>
    <col min="3" max="3" width="17.140625" style="0" customWidth="1"/>
    <col min="4" max="4" width="21.7109375" style="0" customWidth="1"/>
    <col min="5" max="5" width="10.421875" style="0" customWidth="1"/>
    <col min="6" max="6" width="14.140625" style="0" customWidth="1"/>
    <col min="7" max="7" width="15.7109375" style="0" customWidth="1"/>
    <col min="8" max="8" width="11.00390625" style="0" customWidth="1"/>
  </cols>
  <sheetData>
    <row r="1" spans="1:7" ht="7.5" customHeight="1">
      <c r="A1" s="230"/>
      <c r="B1" s="230"/>
      <c r="C1" s="230"/>
      <c r="D1" s="230"/>
      <c r="E1" s="230"/>
      <c r="F1" s="230"/>
      <c r="G1" s="230"/>
    </row>
    <row r="2" spans="1:7" ht="26.25" customHeight="1">
      <c r="A2" s="231" t="s">
        <v>648</v>
      </c>
      <c r="B2" s="231"/>
      <c r="C2" s="231"/>
      <c r="D2" s="231"/>
      <c r="E2" s="231"/>
      <c r="F2" s="231"/>
      <c r="G2" s="231"/>
    </row>
    <row r="3" spans="1:7" ht="18.75" customHeight="1">
      <c r="A3" s="232" t="s">
        <v>24</v>
      </c>
      <c r="B3" s="232"/>
      <c r="C3" s="230"/>
      <c r="D3" s="230"/>
      <c r="E3" s="230"/>
      <c r="F3" s="230"/>
      <c r="G3" s="230"/>
    </row>
    <row r="4" spans="1:8" ht="18.75" customHeight="1">
      <c r="A4" s="232" t="s">
        <v>25</v>
      </c>
      <c r="B4" s="232"/>
      <c r="C4" s="233" t="s">
        <v>26</v>
      </c>
      <c r="D4" s="233"/>
      <c r="E4" s="233"/>
      <c r="F4" s="233"/>
      <c r="G4" s="234" t="s">
        <v>27</v>
      </c>
    </row>
    <row r="5" spans="1:8" ht="18.75" customHeight="1">
      <c r="A5" s="235" t="s">
        <v>28</v>
      </c>
      <c r="B5" s="235" t="s">
        <v>649</v>
      </c>
      <c r="C5" s="235"/>
      <c r="D5" s="235" t="s">
        <v>650</v>
      </c>
      <c r="E5" s="235" t="s">
        <v>651</v>
      </c>
      <c r="F5" s="235" t="s">
        <v>652</v>
      </c>
      <c r="G5" s="235" t="s">
        <v>75</v>
      </c>
    </row>
    <row r="6" spans="1:7" ht="18.75" customHeight="1">
      <c r="A6" s="235" t="s">
        <v>31</v>
      </c>
      <c r="B6" s="236" t="s">
        <v>653</v>
      </c>
      <c r="C6" s="236"/>
      <c r="D6" s="236"/>
      <c r="E6" s="235" t="s">
        <v>149</v>
      </c>
      <c r="F6" s="237" t="s">
        <v>654</v>
      </c>
      <c r="G6" s="236"/>
    </row>
    <row r="7" spans="1:7" ht="18.75" customHeight="1">
      <c r="A7" s="235" t="s">
        <v>34</v>
      </c>
      <c r="B7" s="236" t="s">
        <v>655</v>
      </c>
      <c r="C7" s="236"/>
      <c r="D7" s="236"/>
      <c r="E7" s="235" t="s">
        <v>656</v>
      </c>
      <c r="F7" s="237" t="s">
        <v>657</v>
      </c>
      <c r="G7" s="236"/>
    </row>
    <row r="8" spans="1:7" ht="18.75" customHeight="1">
      <c r="A8" s="235" t="s">
        <v>37</v>
      </c>
      <c r="B8" s="236" t="s">
        <v>658</v>
      </c>
      <c r="C8" s="236"/>
      <c r="D8" s="236" t="s">
        <v>659</v>
      </c>
      <c r="E8" s="235" t="s">
        <v>149</v>
      </c>
      <c r="F8" s="237" t="s">
        <v>660</v>
      </c>
      <c r="G8" s="236"/>
    </row>
    <row r="9" spans="1:7" ht="18.75" customHeight="1">
      <c r="A9" s="235" t="s">
        <v>40</v>
      </c>
      <c r="B9" s="236" t="s">
        <v>661</v>
      </c>
      <c r="C9" s="236"/>
      <c r="D9" s="236"/>
      <c r="E9" s="235" t="s">
        <v>81</v>
      </c>
      <c r="F9" s="237" t="s">
        <v>662</v>
      </c>
      <c r="G9" s="236"/>
    </row>
    <row r="10" spans="1:7" ht="18.75" customHeight="1">
      <c r="A10" s="235" t="s">
        <v>43</v>
      </c>
      <c r="B10" s="236" t="s">
        <v>663</v>
      </c>
      <c r="C10" s="236"/>
      <c r="D10" s="236" t="s">
        <v>664</v>
      </c>
      <c r="E10" s="235" t="s">
        <v>656</v>
      </c>
      <c r="F10" s="237" t="s">
        <v>665</v>
      </c>
      <c r="G10" s="236"/>
    </row>
    <row r="11" spans="1:7" ht="18.75" customHeight="1">
      <c r="A11" s="235" t="s">
        <v>46</v>
      </c>
      <c r="B11" s="236" t="s">
        <v>666</v>
      </c>
      <c r="C11" s="236"/>
      <c r="D11" s="236" t="s">
        <v>667</v>
      </c>
      <c r="E11" s="235" t="s">
        <v>656</v>
      </c>
      <c r="F11" s="237" t="s">
        <v>668</v>
      </c>
      <c r="G11" s="236"/>
    </row>
    <row r="12" spans="1:7" ht="18.75" customHeight="1">
      <c r="A12" s="235" t="s">
        <v>49</v>
      </c>
      <c r="B12" s="236" t="s">
        <v>669</v>
      </c>
      <c r="C12" s="236"/>
      <c r="D12" s="236"/>
      <c r="E12" s="235" t="s">
        <v>81</v>
      </c>
      <c r="F12" s="237" t="s">
        <v>670</v>
      </c>
      <c r="G12" s="236"/>
    </row>
    <row r="13" spans="1:7" ht="18.75" customHeight="1">
      <c r="A13" s="235" t="s">
        <v>52</v>
      </c>
      <c r="B13" s="236" t="s">
        <v>671</v>
      </c>
      <c r="C13" s="236"/>
      <c r="D13" s="236"/>
      <c r="E13" s="235" t="s">
        <v>656</v>
      </c>
      <c r="F13" s="237" t="s">
        <v>672</v>
      </c>
      <c r="G13" s="236"/>
    </row>
    <row r="14" spans="1:7" ht="18.75" customHeight="1">
      <c r="A14" s="235" t="s">
        <v>55</v>
      </c>
      <c r="B14" s="236" t="s">
        <v>673</v>
      </c>
      <c r="C14" s="236"/>
      <c r="D14" s="236"/>
      <c r="E14" s="235" t="s">
        <v>656</v>
      </c>
      <c r="F14" s="237" t="s">
        <v>674</v>
      </c>
      <c r="G14" s="236"/>
    </row>
    <row r="15" spans="1:7" ht="18.75" customHeight="1">
      <c r="A15" s="235" t="s">
        <v>58</v>
      </c>
      <c r="B15" s="236" t="s">
        <v>675</v>
      </c>
      <c r="C15" s="236"/>
      <c r="D15" s="236"/>
      <c r="E15" s="235" t="s">
        <v>81</v>
      </c>
      <c r="F15" s="237" t="s">
        <v>676</v>
      </c>
      <c r="G15" s="236"/>
    </row>
    <row r="16" spans="1:7" ht="18.75" customHeight="1">
      <c r="A16" s="235" t="s">
        <v>61</v>
      </c>
      <c r="B16" s="236" t="s">
        <v>677</v>
      </c>
      <c r="C16" s="236"/>
      <c r="D16" s="236"/>
      <c r="E16" s="235" t="s">
        <v>81</v>
      </c>
      <c r="F16" s="237" t="s">
        <v>678</v>
      </c>
      <c r="G16" s="236"/>
    </row>
    <row r="17" spans="1:7" ht="18.75" customHeight="1">
      <c r="A17" s="235" t="s">
        <v>313</v>
      </c>
      <c r="B17" s="236" t="s">
        <v>679</v>
      </c>
      <c r="C17" s="236"/>
      <c r="D17" s="236"/>
      <c r="E17" s="235" t="s">
        <v>81</v>
      </c>
      <c r="F17" s="237" t="s">
        <v>680</v>
      </c>
      <c r="G17" s="236"/>
    </row>
    <row r="18" spans="1:7" ht="18.75" customHeight="1">
      <c r="A18" s="235" t="s">
        <v>681</v>
      </c>
      <c r="B18" s="236" t="s">
        <v>682</v>
      </c>
      <c r="C18" s="236"/>
      <c r="D18" s="236"/>
      <c r="E18" s="235" t="s">
        <v>81</v>
      </c>
      <c r="F18" s="237" t="s">
        <v>683</v>
      </c>
      <c r="G18" s="236"/>
    </row>
    <row r="19" spans="1:7" ht="18.75" customHeight="1">
      <c r="A19" s="235"/>
      <c r="B19" s="236"/>
      <c r="C19" s="236"/>
      <c r="D19" s="236"/>
      <c r="E19" s="235"/>
      <c r="F19" s="237"/>
      <c r="G19" s="236"/>
    </row>
    <row r="20" spans="1:7" ht="18.75" customHeight="1">
      <c r="A20" s="235"/>
      <c r="B20" s="236"/>
      <c r="C20" s="236"/>
      <c r="D20" s="236"/>
      <c r="E20" s="235"/>
      <c r="F20" s="237"/>
      <c r="G20" s="236"/>
    </row>
    <row r="21" spans="1:7" ht="18.75" customHeight="1">
      <c r="A21" s="235"/>
      <c r="B21" s="236"/>
      <c r="C21" s="236"/>
      <c r="D21" s="236"/>
      <c r="E21" s="235"/>
      <c r="F21" s="237"/>
      <c r="G21" s="236"/>
    </row>
    <row r="22" spans="1:7" ht="18.75" customHeight="1">
      <c r="A22" s="235"/>
      <c r="B22" s="236"/>
      <c r="C22" s="236"/>
      <c r="D22" s="236"/>
      <c r="E22" s="235"/>
      <c r="F22" s="237"/>
      <c r="G22" s="236"/>
    </row>
    <row r="23" spans="1:7" ht="18.75" customHeight="1">
      <c r="A23" s="235"/>
      <c r="B23" s="236"/>
      <c r="C23" s="236"/>
      <c r="D23" s="236"/>
      <c r="E23" s="235"/>
      <c r="F23" s="237"/>
      <c r="G23" s="236"/>
    </row>
    <row r="24" spans="1:7" ht="18.75" customHeight="1">
      <c r="A24" s="235"/>
      <c r="B24" s="236"/>
      <c r="C24" s="236"/>
      <c r="D24" s="236"/>
      <c r="E24" s="235"/>
      <c r="F24" s="237"/>
      <c r="G24" s="236"/>
    </row>
    <row r="25" spans="1:7" ht="18.75" customHeight="1">
      <c r="A25" s="235"/>
      <c r="B25" s="236"/>
      <c r="C25" s="236"/>
      <c r="D25" s="236"/>
      <c r="E25" s="235"/>
      <c r="F25" s="237"/>
      <c r="G25" s="236"/>
    </row>
    <row r="26" spans="1:7" ht="18.75" customHeight="1">
      <c r="A26" s="235"/>
      <c r="B26" s="236"/>
      <c r="C26" s="236"/>
      <c r="D26" s="236"/>
      <c r="E26" s="235"/>
      <c r="F26" s="237"/>
      <c r="G26" s="236"/>
    </row>
    <row r="27" spans="1:7" ht="18.75" customHeight="1">
      <c r="A27" s="235"/>
      <c r="B27" s="236"/>
      <c r="C27" s="236"/>
      <c r="D27" s="236"/>
      <c r="E27" s="235"/>
      <c r="F27" s="237"/>
      <c r="G27" s="236"/>
    </row>
    <row r="28" spans="1:7" ht="18.75" customHeight="1">
      <c r="A28" s="235"/>
      <c r="B28" s="236"/>
      <c r="C28" s="236"/>
      <c r="D28" s="236"/>
      <c r="E28" s="235"/>
      <c r="F28" s="237"/>
      <c r="G28" s="236"/>
    </row>
    <row r="29" spans="1:7" ht="18.75" customHeight="1">
      <c r="A29" s="235"/>
      <c r="B29" s="236"/>
      <c r="C29" s="236"/>
      <c r="D29" s="236"/>
      <c r="E29" s="235"/>
      <c r="F29" s="237"/>
      <c r="G29" s="236"/>
    </row>
    <row r="30" spans="1:7" ht="18.75" customHeight="1">
      <c r="A30" s="235"/>
      <c r="B30" s="236"/>
      <c r="C30" s="236"/>
      <c r="D30" s="236"/>
      <c r="E30" s="235"/>
      <c r="F30" s="237"/>
      <c r="G30" s="236"/>
    </row>
    <row r="31" spans="1:7" ht="18.75" customHeight="1">
      <c r="A31" s="235"/>
      <c r="B31" s="236"/>
      <c r="C31" s="236"/>
      <c r="D31" s="236"/>
      <c r="E31" s="235"/>
      <c r="F31" s="237"/>
      <c r="G31" s="236"/>
    </row>
    <row r="32" spans="1:7" ht="18.75" customHeight="1">
      <c r="A32" s="235"/>
      <c r="B32" s="236"/>
      <c r="C32" s="236"/>
      <c r="D32" s="236"/>
      <c r="E32" s="235"/>
      <c r="F32" s="237"/>
      <c r="G32" s="236"/>
    </row>
    <row r="33" spans="1:7" ht="18.75" customHeight="1">
      <c r="A33" s="235"/>
      <c r="B33" s="236"/>
      <c r="C33" s="236"/>
      <c r="D33" s="236"/>
      <c r="E33" s="235"/>
      <c r="F33" s="237"/>
      <c r="G33" s="236"/>
    </row>
    <row r="34" spans="1:7" ht="18.75" customHeight="1">
      <c r="A34" s="235"/>
      <c r="B34" s="236"/>
      <c r="C34" s="236"/>
      <c r="D34" s="236"/>
      <c r="E34" s="235"/>
      <c r="F34" s="237"/>
      <c r="G34" s="236"/>
    </row>
    <row r="35" spans="1:7" ht="18.75" customHeight="1">
      <c r="A35" s="235"/>
      <c r="B35" s="236"/>
      <c r="C35" s="236"/>
      <c r="D35" s="236"/>
      <c r="E35" s="235"/>
      <c r="F35" s="237"/>
      <c r="G35" s="236"/>
    </row>
    <row r="36" spans="1:7" ht="18.75" customHeight="1">
      <c r="A36" s="235"/>
      <c r="B36" s="236"/>
      <c r="C36" s="236"/>
      <c r="D36" s="236"/>
      <c r="E36" s="235"/>
      <c r="F36" s="237"/>
      <c r="G36" s="236"/>
    </row>
    <row r="37" spans="1:7" ht="18.75" customHeight="1">
      <c r="A37" s="235"/>
      <c r="B37" s="236"/>
      <c r="C37" s="236"/>
      <c r="D37" s="236"/>
      <c r="E37" s="235"/>
      <c r="F37" s="237"/>
      <c r="G37" s="236"/>
    </row>
  </sheetData>
  <mergeCells count="38">
    <mergeCell ref="A2:G2"/>
    <mergeCell ref="A3:B3"/>
    <mergeCell ref="C3:G3"/>
    <mergeCell ref="A4:B4"/>
    <mergeCell ref="C4:F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</mergeCells>
  <printOptions/>
  <pageMargins left="0.9055099999999999" right="0" top="0.70866" bottom="0" header="0.55118" footer="0.3937"/>
  <pageSetup firstPageNumber="17" useFirstPageNumber="1" horizontalDpi="300" verticalDpi="300" orientation="portrait" pageOrder="overThenDown" paperSize="9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2.1.3</vt:lpwstr>
  </property>
</Properties>
</file>