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工作盘\1PPP\1项目190922\1武义190922\3交通项目190922\1牛头山通景公路等交通项目190922\10项目二次采购190922\2公开招标\1招标文件及附件\发布稿\"/>
    </mc:Choice>
  </mc:AlternateContent>
  <bookViews>
    <workbookView xWindow="0" yWindow="0" windowWidth="19080" windowHeight="11835"/>
  </bookViews>
  <sheets>
    <sheet name="Sheet1" sheetId="1" r:id="rId1"/>
  </sheets>
  <calcPr calcId="162913"/>
</workbook>
</file>

<file path=xl/calcChain.xml><?xml version="1.0" encoding="utf-8"?>
<calcChain xmlns="http://schemas.openxmlformats.org/spreadsheetml/2006/main">
  <c r="C14" i="1" l="1"/>
  <c r="C7" i="1" l="1"/>
  <c r="D7" i="1" l="1"/>
  <c r="D6" i="1"/>
  <c r="C6" i="1"/>
  <c r="L8" i="1" l="1"/>
  <c r="J14" i="1" l="1"/>
  <c r="E7" i="1"/>
  <c r="F7" i="1"/>
  <c r="G7" i="1"/>
  <c r="H7" i="1"/>
  <c r="I7" i="1"/>
  <c r="J7" i="1"/>
  <c r="K7" i="1"/>
  <c r="L7" i="1"/>
  <c r="M7" i="1"/>
  <c r="N7" i="1"/>
  <c r="O7" i="1"/>
  <c r="E6" i="1"/>
  <c r="P6" i="1" s="1"/>
  <c r="F6" i="1"/>
  <c r="G6" i="1"/>
  <c r="H6" i="1"/>
  <c r="I6" i="1"/>
  <c r="J6" i="1"/>
  <c r="K6" i="1"/>
  <c r="L6" i="1"/>
  <c r="M6" i="1"/>
  <c r="N6" i="1"/>
  <c r="O6" i="1"/>
  <c r="P7" i="1" l="1"/>
  <c r="K14" i="1"/>
  <c r="L14" i="1" s="1"/>
  <c r="M14" i="1" s="1"/>
  <c r="N14" i="1" l="1"/>
  <c r="J9" i="1" s="1"/>
  <c r="J5" i="1" s="1"/>
  <c r="N9" i="1" l="1"/>
  <c r="N5" i="1" s="1"/>
  <c r="I4" i="1"/>
  <c r="G4" i="1"/>
  <c r="D9" i="1"/>
  <c r="D5" i="1" s="1"/>
  <c r="D4" i="1"/>
  <c r="C9" i="1"/>
  <c r="C5" i="1" s="1"/>
  <c r="O9" i="1"/>
  <c r="H4" i="1"/>
  <c r="I9" i="1"/>
  <c r="M4" i="1"/>
  <c r="F4" i="1"/>
  <c r="L9" i="1"/>
  <c r="K4" i="1"/>
  <c r="K9" i="1"/>
  <c r="K5" i="1" s="1"/>
  <c r="L4" i="1"/>
  <c r="E9" i="1"/>
  <c r="E5" i="1" s="1"/>
  <c r="M9" i="1"/>
  <c r="M5" i="1" s="1"/>
  <c r="J4" i="1"/>
  <c r="J10" i="1" s="1"/>
  <c r="G9" i="1"/>
  <c r="G5" i="1" s="1"/>
  <c r="G10" i="1" s="1"/>
  <c r="O4" i="1"/>
  <c r="F9" i="1"/>
  <c r="F5" i="1" s="1"/>
  <c r="E4" i="1"/>
  <c r="H9" i="1"/>
  <c r="H5" i="1" s="1"/>
  <c r="N4" i="1"/>
  <c r="C4" i="1"/>
  <c r="D10" i="1" l="1"/>
  <c r="N10" i="1"/>
  <c r="P9" i="1"/>
  <c r="O5" i="1"/>
  <c r="O10" i="1" s="1"/>
  <c r="P8" i="1"/>
  <c r="L5" i="1"/>
  <c r="L10" i="1" s="1"/>
  <c r="I5" i="1"/>
  <c r="I10" i="1" s="1"/>
  <c r="F10" i="1"/>
  <c r="E10" i="1"/>
  <c r="P4" i="1"/>
  <c r="K10" i="1"/>
  <c r="M10" i="1"/>
  <c r="H10" i="1"/>
  <c r="C10" i="1"/>
  <c r="P10" i="1" l="1"/>
  <c r="P5" i="1"/>
</calcChain>
</file>

<file path=xl/sharedStrings.xml><?xml version="1.0" encoding="utf-8"?>
<sst xmlns="http://schemas.openxmlformats.org/spreadsheetml/2006/main" count="49" uniqueCount="48">
  <si>
    <t>运营维护期</t>
  </si>
  <si>
    <t>合计</t>
  </si>
  <si>
    <t>运营维护服务费</t>
  </si>
  <si>
    <t xml:space="preserve"> </t>
  </si>
  <si>
    <t>可用性服务费</t>
    <phoneticPr fontId="1" type="noConversion"/>
  </si>
  <si>
    <t>基础数据</t>
    <phoneticPr fontId="1" type="noConversion"/>
  </si>
  <si>
    <t>合理利润率</t>
    <phoneticPr fontId="1" type="noConversion"/>
  </si>
  <si>
    <t>保险费（财产一切险；第三者责任险）</t>
  </si>
  <si>
    <t>年度折现率</t>
    <phoneticPr fontId="1" type="noConversion"/>
  </si>
  <si>
    <t>备注</t>
    <phoneticPr fontId="1" type="noConversion"/>
  </si>
  <si>
    <t xml:space="preserve">                      年度
             金额（万元）
     项目</t>
    <phoneticPr fontId="1" type="noConversion"/>
  </si>
  <si>
    <t>运营1年</t>
    <phoneticPr fontId="1" type="noConversion"/>
  </si>
  <si>
    <t>运营2年</t>
  </si>
  <si>
    <t>运营3年</t>
  </si>
  <si>
    <t>运营4年</t>
  </si>
  <si>
    <t>运营5年</t>
  </si>
  <si>
    <t>运营6年</t>
  </si>
  <si>
    <t>运营7年</t>
  </si>
  <si>
    <t>运营8年</t>
  </si>
  <si>
    <t>运营9年</t>
  </si>
  <si>
    <t>运营10年</t>
  </si>
  <si>
    <t>运营11年</t>
  </si>
  <si>
    <t>运营12年</t>
  </si>
  <si>
    <t>建设期资金年利率</t>
    <phoneticPr fontId="1" type="noConversion"/>
  </si>
  <si>
    <t>大中修成本</t>
    <phoneticPr fontId="1" type="noConversion"/>
  </si>
  <si>
    <t>运营13年</t>
  </si>
  <si>
    <t>政府付费</t>
    <phoneticPr fontId="1" type="noConversion"/>
  </si>
  <si>
    <t>可研估算工程建设其他费用（万元）</t>
    <phoneticPr fontId="1" type="noConversion"/>
  </si>
  <si>
    <t>报价工程费用（万元）</t>
    <phoneticPr fontId="1" type="noConversion"/>
  </si>
  <si>
    <t>报价工程建设其他费用（万元）</t>
    <phoneticPr fontId="1" type="noConversion"/>
  </si>
  <si>
    <t>报价项目建设投资（万元）</t>
    <phoneticPr fontId="1" type="noConversion"/>
  </si>
  <si>
    <t>报价建设期利息（万元）</t>
    <phoneticPr fontId="1" type="noConversion"/>
  </si>
  <si>
    <t>报价项目总投资（万元）</t>
    <phoneticPr fontId="1" type="noConversion"/>
  </si>
  <si>
    <t>大修费率（以项目总投资为基数）</t>
    <phoneticPr fontId="1" type="noConversion"/>
  </si>
  <si>
    <t>建安工程招标控制价（万元）</t>
    <phoneticPr fontId="1" type="noConversion"/>
  </si>
  <si>
    <t>子项目5运营维护绿地面积（㎡）</t>
    <phoneticPr fontId="1" type="noConversion"/>
  </si>
  <si>
    <t>子项目1、2、3、4、6、7运营维护管理里程（公里）</t>
    <phoneticPr fontId="1" type="noConversion"/>
  </si>
  <si>
    <t>子项目5运营维护成本</t>
    <phoneticPr fontId="1" type="noConversion"/>
  </si>
  <si>
    <t>子项目 1、2、3、4、6、7运营维护成本</t>
    <phoneticPr fontId="1" type="noConversion"/>
  </si>
  <si>
    <t>子项目1、2、3、4、6、7运营维护成本（万元/公里）</t>
    <phoneticPr fontId="1" type="noConversion"/>
  </si>
  <si>
    <t>保险费率（以项目总投资为基数）</t>
    <phoneticPr fontId="1" type="noConversion"/>
  </si>
  <si>
    <t>运营年限（年）</t>
    <phoneticPr fontId="1" type="noConversion"/>
  </si>
  <si>
    <t>子项目5公路绿化亮化工程日常小修保养费单价（元/年㎡）</t>
    <phoneticPr fontId="1" type="noConversion"/>
  </si>
  <si>
    <t>报价指标</t>
    <phoneticPr fontId="1" type="noConversion"/>
  </si>
  <si>
    <t>建安工程工程量清单报价（万元）</t>
    <phoneticPr fontId="1" type="noConversion"/>
  </si>
  <si>
    <t>总报价指标（全生命周期政府付费总额）</t>
    <phoneticPr fontId="1" type="noConversion"/>
  </si>
  <si>
    <t xml:space="preserve">    1、投标人不得更改表格中除黄色填充格以外的任何数据，仅需要在黄色填充格内填入相应的相应的报价限值范围内的建安工程工程量清单报价、建设期资金年利率、年度折现率、合理利润率、子项目5公路绿化亮化工程日常小修保养费单价。本计算模型自动计算总报价指标A：政府付费总额（红色填充格）。
    2、本表中红色填充格数据即为本项目招标文件中评审办法前附表和报价一览表中的的总投标报价（政府付费总额A）。
    3、项目采购阶段基础数据按照本表执行，合同履行阶段基础数据按照实际数据执行。
    4、项目采购阶段建设期资金利息按照本表执行，合同履行阶段建设期利息按照PPP项目合同利息计算方法执行。</t>
    <phoneticPr fontId="1" type="noConversion"/>
  </si>
  <si>
    <t>牛头山通景公路等工程PPP项目政府付费计算模型（投标报价用）</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</si>
</sst>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_ "/>
    <numFmt numFmtId="178" formatCode="0.00_);[Red]\(0.00\)"/>
    <numFmt numFmtId="179" formatCode="0.0_);[Red]\(0.0\)"/>
    <numFmt numFmtId="180" formatCode="0_);[Red]\(0\)"/>
    <numFmt numFmtId="181" formatCode="0.000%"/>
    <numFmt numFmtId="182" formatCode="0.000_);[Red]\(0.000\)"/>
  </numFmts>
  <fonts count="9" x14ac:knownFonts="1">
    <font>
      <sz val="11"/>
      <color theme="1"/>
      <name val="宋体"/>
      <charset val="134"/>
      <scheme val="minor"/>
    </font>
    <font>
      <sz val="9"/>
      <name val="宋体"/>
      <family val="3"/>
      <charset val="134"/>
      <scheme val="minor"/>
    </font>
    <font>
      <sz val="9"/>
      <color theme="1"/>
      <name val="宋体"/>
      <family val="3"/>
      <charset val="134"/>
      <scheme val="minor"/>
    </font>
    <font>
      <b/>
      <sz val="9"/>
      <color theme="1"/>
      <name val="宋体"/>
      <family val="3"/>
      <charset val="134"/>
      <scheme val="minor"/>
    </font>
    <font>
      <b/>
      <sz val="12"/>
      <color theme="1"/>
      <name val="宋体"/>
      <family val="3"/>
      <charset val="134"/>
      <scheme val="minor"/>
    </font>
    <font>
      <sz val="9"/>
      <name val="宋体"/>
      <family val="3"/>
      <charset val="134"/>
    </font>
    <font>
      <sz val="11"/>
      <color theme="1"/>
      <name val="宋体"/>
      <family val="3"/>
      <charset val="134"/>
      <scheme val="minor"/>
    </font>
    <font>
      <sz val="11"/>
      <color theme="1"/>
      <name val="宋体"/>
      <charset val="134"/>
      <scheme val="minor"/>
    </font>
    <font>
      <sz val="8"/>
      <color theme="1"/>
      <name val="宋体"/>
      <family val="3"/>
      <charset val="134"/>
      <scheme val="minor"/>
    </font>
  </fonts>
  <fills count="4">
    <fill>
      <patternFill patternType="none"/>
    </fill>
    <fill>
      <patternFill patternType="gray125"/>
    </fill>
    <fill>
      <patternFill patternType="solid">
        <fgColor rgb="FFFFFF00"/>
        <bgColor indexed="64"/>
      </patternFill>
    </fill>
    <fill>
      <patternFill patternType="solid">
        <fgColor rgb="FFFF0000"/>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2">
    <xf numFmtId="0" fontId="0" fillId="0" borderId="0"/>
    <xf numFmtId="9" fontId="7" fillId="0" borderId="0" applyFont="0" applyFill="0" applyBorder="0" applyAlignment="0" applyProtection="0">
      <alignment vertical="center"/>
    </xf>
  </cellStyleXfs>
  <cellXfs count="41">
    <xf numFmtId="0" fontId="0" fillId="0" borderId="0" xfId="0"/>
    <xf numFmtId="0" fontId="0" fillId="0" borderId="0" xfId="0" applyAlignment="1">
      <alignment wrapText="1"/>
    </xf>
    <xf numFmtId="10" fontId="3" fillId="2" borderId="1" xfId="0" applyNumberFormat="1" applyFont="1" applyFill="1" applyBorder="1" applyAlignment="1">
      <alignment horizontal="center" vertical="center"/>
    </xf>
    <xf numFmtId="176"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176"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178"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176" fontId="2" fillId="0" borderId="1" xfId="0" applyNumberFormat="1" applyFont="1" applyFill="1" applyBorder="1" applyAlignment="1">
      <alignment horizontal="center" vertical="center" wrapText="1"/>
    </xf>
    <xf numFmtId="176" fontId="2" fillId="0" borderId="1" xfId="0" applyNumberFormat="1" applyFont="1" applyFill="1" applyBorder="1" applyAlignment="1">
      <alignment horizontal="center" vertical="center" wrapText="1"/>
    </xf>
    <xf numFmtId="176" fontId="8" fillId="0" borderId="1" xfId="0" applyNumberFormat="1" applyFont="1" applyFill="1" applyBorder="1" applyAlignment="1">
      <alignment horizontal="center" vertical="center"/>
    </xf>
    <xf numFmtId="179" fontId="2" fillId="0" borderId="1" xfId="0" applyNumberFormat="1" applyFont="1" applyFill="1" applyBorder="1" applyAlignment="1">
      <alignment horizontal="center" vertical="center"/>
    </xf>
    <xf numFmtId="176" fontId="3" fillId="2" borderId="1" xfId="1" applyNumberFormat="1" applyFont="1" applyFill="1" applyBorder="1" applyAlignment="1">
      <alignment horizontal="center" vertical="center"/>
    </xf>
    <xf numFmtId="179" fontId="2" fillId="0" borderId="1" xfId="0" applyNumberFormat="1" applyFont="1" applyFill="1" applyBorder="1" applyAlignment="1">
      <alignment horizontal="center" vertical="center" wrapText="1"/>
    </xf>
    <xf numFmtId="180" fontId="0" fillId="0" borderId="0" xfId="0" applyNumberFormat="1"/>
    <xf numFmtId="177"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176" fontId="2" fillId="0" borderId="1" xfId="0" applyNumberFormat="1" applyFont="1" applyFill="1" applyBorder="1" applyAlignment="1">
      <alignment horizontal="center" vertical="center" wrapText="1"/>
    </xf>
    <xf numFmtId="0" fontId="0" fillId="0" borderId="1" xfId="0" applyBorder="1"/>
    <xf numFmtId="9" fontId="2" fillId="0" borderId="1" xfId="1" applyFont="1" applyFill="1" applyBorder="1" applyAlignment="1">
      <alignment horizontal="center" vertical="center"/>
    </xf>
    <xf numFmtId="181" fontId="2" fillId="0" borderId="1" xfId="1" applyNumberFormat="1" applyFont="1" applyFill="1" applyBorder="1" applyAlignment="1">
      <alignment horizontal="center" vertical="center"/>
    </xf>
    <xf numFmtId="177" fontId="3" fillId="2" borderId="1" xfId="1" applyNumberFormat="1" applyFont="1" applyFill="1" applyBorder="1" applyAlignment="1">
      <alignment horizontal="center" vertical="center"/>
    </xf>
    <xf numFmtId="182" fontId="2" fillId="0" borderId="1" xfId="0" applyNumberFormat="1" applyFont="1" applyFill="1" applyBorder="1" applyAlignment="1">
      <alignment horizontal="center" vertical="center"/>
    </xf>
    <xf numFmtId="176" fontId="8" fillId="0" borderId="1" xfId="0" applyNumberFormat="1" applyFont="1" applyFill="1" applyBorder="1" applyAlignment="1">
      <alignment horizontal="center" vertical="center" wrapText="1"/>
    </xf>
    <xf numFmtId="177" fontId="3" fillId="0" borderId="1" xfId="0" applyNumberFormat="1" applyFont="1" applyFill="1" applyBorder="1" applyAlignment="1">
      <alignment horizontal="center" vertical="center"/>
    </xf>
    <xf numFmtId="0" fontId="5" fillId="0" borderId="1" xfId="0" applyNumberFormat="1" applyFont="1" applyFill="1" applyBorder="1" applyAlignment="1">
      <alignment horizontal="left" vertical="center" wrapText="1"/>
    </xf>
    <xf numFmtId="176" fontId="4" fillId="0" borderId="1" xfId="0" applyNumberFormat="1" applyFont="1" applyFill="1" applyBorder="1" applyAlignment="1">
      <alignment horizontal="center" vertical="center"/>
    </xf>
    <xf numFmtId="176" fontId="2" fillId="0" borderId="1" xfId="0" applyNumberFormat="1" applyFont="1" applyFill="1" applyBorder="1" applyAlignment="1">
      <alignment horizontal="left" vertical="top" wrapText="1"/>
    </xf>
    <xf numFmtId="0" fontId="2" fillId="0" borderId="1" xfId="0" applyFont="1" applyFill="1" applyBorder="1" applyAlignment="1">
      <alignment horizontal="center" vertical="center"/>
    </xf>
    <xf numFmtId="176" fontId="2" fillId="0" borderId="1" xfId="0" applyNumberFormat="1" applyFont="1" applyFill="1" applyBorder="1" applyAlignment="1">
      <alignment horizontal="center" vertical="center" wrapText="1"/>
    </xf>
    <xf numFmtId="176" fontId="2" fillId="0" borderId="5" xfId="0" applyNumberFormat="1" applyFont="1" applyFill="1" applyBorder="1" applyAlignment="1">
      <alignment horizontal="center" vertical="center"/>
    </xf>
    <xf numFmtId="176" fontId="2" fillId="0" borderId="6" xfId="0" applyNumberFormat="1" applyFont="1" applyFill="1" applyBorder="1" applyAlignment="1">
      <alignment horizontal="center" vertical="center"/>
    </xf>
    <xf numFmtId="176" fontId="2" fillId="0" borderId="2" xfId="0" applyNumberFormat="1" applyFont="1" applyFill="1" applyBorder="1" applyAlignment="1">
      <alignment horizontal="center" vertical="center"/>
    </xf>
    <xf numFmtId="176" fontId="2" fillId="0" borderId="3" xfId="0" applyNumberFormat="1" applyFont="1" applyFill="1" applyBorder="1" applyAlignment="1">
      <alignment horizontal="center" vertical="center"/>
    </xf>
    <xf numFmtId="176" fontId="2" fillId="0" borderId="4" xfId="0" applyNumberFormat="1" applyFont="1" applyFill="1" applyBorder="1" applyAlignment="1">
      <alignment horizontal="center" vertical="center"/>
    </xf>
    <xf numFmtId="0" fontId="6" fillId="0" borderId="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 xfId="0" applyFont="1" applyBorder="1" applyAlignment="1">
      <alignment horizontal="center" vertical="center" wrapText="1"/>
    </xf>
    <xf numFmtId="0" fontId="0" fillId="0" borderId="1" xfId="0" applyBorder="1" applyAlignment="1">
      <alignment horizontal="center" vertical="center" wrapText="1"/>
    </xf>
    <xf numFmtId="176" fontId="0" fillId="3" borderId="1" xfId="0" applyNumberFormat="1" applyFill="1" applyBorder="1" applyAlignment="1">
      <alignment horizontal="center" vertical="center"/>
    </xf>
  </cellXfs>
  <cellStyles count="2">
    <cellStyle name="百分比" xfId="1" builtinId="5"/>
    <cellStyle name="常规"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9525</xdr:colOff>
      <xdr:row>1</xdr:row>
      <xdr:rowOff>19050</xdr:rowOff>
    </xdr:from>
    <xdr:to>
      <xdr:col>2</xdr:col>
      <xdr:colOff>8283</xdr:colOff>
      <xdr:row>2</xdr:row>
      <xdr:rowOff>24848</xdr:rowOff>
    </xdr:to>
    <xdr:cxnSp macro="">
      <xdr:nvCxnSpPr>
        <xdr:cNvPr id="3" name="直接连接符 2">
          <a:extLst>
            <a:ext uri="{FF2B5EF4-FFF2-40B4-BE49-F238E27FC236}">
              <a16:creationId xmlns:a16="http://schemas.microsoft.com/office/drawing/2014/main" id="{00000000-0008-0000-0000-000003000000}"/>
            </a:ext>
          </a:extLst>
        </xdr:cNvPr>
        <xdr:cNvCxnSpPr/>
      </xdr:nvCxnSpPr>
      <xdr:spPr>
        <a:xfrm>
          <a:off x="9525" y="400050"/>
          <a:ext cx="2135671" cy="254276"/>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1</xdr:row>
      <xdr:rowOff>19050</xdr:rowOff>
    </xdr:from>
    <xdr:to>
      <xdr:col>1</xdr:col>
      <xdr:colOff>969065</xdr:colOff>
      <xdr:row>3</xdr:row>
      <xdr:rowOff>8283</xdr:rowOff>
    </xdr:to>
    <xdr:cxnSp macro="">
      <xdr:nvCxnSpPr>
        <xdr:cNvPr id="5" name="直接连接符 4">
          <a:extLst>
            <a:ext uri="{FF2B5EF4-FFF2-40B4-BE49-F238E27FC236}">
              <a16:creationId xmlns:a16="http://schemas.microsoft.com/office/drawing/2014/main" id="{00000000-0008-0000-0000-000005000000}"/>
            </a:ext>
          </a:extLst>
        </xdr:cNvPr>
        <xdr:cNvCxnSpPr/>
      </xdr:nvCxnSpPr>
      <xdr:spPr>
        <a:xfrm>
          <a:off x="9525" y="400050"/>
          <a:ext cx="1464779" cy="53588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9"/>
  <sheetViews>
    <sheetView tabSelected="1" zoomScale="115" zoomScaleNormal="115" workbookViewId="0">
      <selection sqref="A1:P15"/>
    </sheetView>
  </sheetViews>
  <sheetFormatPr defaultColWidth="9" defaultRowHeight="13.5" x14ac:dyDescent="0.3"/>
  <cols>
    <col min="1" max="1" width="6.59765625" customWidth="1"/>
    <col min="2" max="2" width="18.46484375" style="1" customWidth="1"/>
    <col min="3" max="6" width="7.59765625" customWidth="1"/>
    <col min="7" max="7" width="10.46484375" customWidth="1"/>
    <col min="8" max="8" width="9.59765625" customWidth="1"/>
    <col min="9" max="9" width="8.86328125" customWidth="1"/>
    <col min="10" max="10" width="9.73046875" customWidth="1"/>
    <col min="11" max="15" width="7.59765625" customWidth="1"/>
    <col min="16" max="16" width="9.3984375" customWidth="1"/>
  </cols>
  <sheetData>
    <row r="1" spans="1:16" ht="29.25" customHeight="1" x14ac:dyDescent="0.3">
      <c r="A1" s="27" t="s">
        <v>47</v>
      </c>
      <c r="B1" s="27"/>
      <c r="C1" s="27"/>
      <c r="D1" s="27"/>
      <c r="E1" s="27"/>
      <c r="F1" s="27"/>
      <c r="G1" s="27"/>
      <c r="H1" s="27"/>
      <c r="I1" s="27"/>
      <c r="J1" s="27"/>
      <c r="K1" s="27"/>
      <c r="L1" s="27"/>
      <c r="M1" s="27"/>
      <c r="N1" s="27"/>
      <c r="O1" s="27"/>
      <c r="P1" s="27"/>
    </row>
    <row r="2" spans="1:16" ht="18" customHeight="1" x14ac:dyDescent="0.3">
      <c r="A2" s="28" t="s">
        <v>10</v>
      </c>
      <c r="B2" s="28"/>
      <c r="C2" s="33" t="s">
        <v>0</v>
      </c>
      <c r="D2" s="34"/>
      <c r="E2" s="34"/>
      <c r="F2" s="34"/>
      <c r="G2" s="34"/>
      <c r="H2" s="34"/>
      <c r="I2" s="34"/>
      <c r="J2" s="34"/>
      <c r="K2" s="34"/>
      <c r="L2" s="34"/>
      <c r="M2" s="34"/>
      <c r="N2" s="34"/>
      <c r="O2" s="35"/>
      <c r="P2" s="31" t="s">
        <v>1</v>
      </c>
    </row>
    <row r="3" spans="1:16" ht="18" customHeight="1" x14ac:dyDescent="0.3">
      <c r="A3" s="28"/>
      <c r="B3" s="28"/>
      <c r="C3" s="11" t="s">
        <v>11</v>
      </c>
      <c r="D3" s="11" t="s">
        <v>12</v>
      </c>
      <c r="E3" s="11" t="s">
        <v>13</v>
      </c>
      <c r="F3" s="11" t="s">
        <v>14</v>
      </c>
      <c r="G3" s="11" t="s">
        <v>15</v>
      </c>
      <c r="H3" s="11" t="s">
        <v>16</v>
      </c>
      <c r="I3" s="11" t="s">
        <v>17</v>
      </c>
      <c r="J3" s="11" t="s">
        <v>18</v>
      </c>
      <c r="K3" s="11" t="s">
        <v>19</v>
      </c>
      <c r="L3" s="11" t="s">
        <v>20</v>
      </c>
      <c r="M3" s="11" t="s">
        <v>21</v>
      </c>
      <c r="N3" s="11" t="s">
        <v>22</v>
      </c>
      <c r="O3" s="11" t="s">
        <v>25</v>
      </c>
      <c r="P3" s="32"/>
    </row>
    <row r="4" spans="1:16" ht="18" customHeight="1" x14ac:dyDescent="0.3">
      <c r="A4" s="4">
        <v>1</v>
      </c>
      <c r="B4" s="5" t="s">
        <v>4</v>
      </c>
      <c r="C4" s="16">
        <f>$N$14*(1+$H$14)*POWER((1+$G$14),1)/$I$12</f>
        <v>2720.0605219052477</v>
      </c>
      <c r="D4" s="16">
        <f>$N$14*(1+$H$14)*POWER((1+$G$14),2)/$I$12</f>
        <v>2906.6566737079474</v>
      </c>
      <c r="E4" s="16">
        <f>$N$14*(1+$H$14)*POWER((1+$G$14),3)/$I$12</f>
        <v>3106.0533215243127</v>
      </c>
      <c r="F4" s="16">
        <f>$N$14*(1+$H$14)*POWER((1+$G$14),4)/$I$12</f>
        <v>3319.1285793808802</v>
      </c>
      <c r="G4" s="16">
        <f>$N$14*(1+$H$14)*POWER((1+$G$14),5)/$I$12</f>
        <v>3546.8207999264082</v>
      </c>
      <c r="H4" s="16">
        <f>$N$14*(1+$H$14)*POWER((1+$G$14),6)/$I$12</f>
        <v>3790.1327068013593</v>
      </c>
      <c r="I4" s="16">
        <f>$N$14*(1+$H$14)*POWER((1+$G$14),7)/$I$12</f>
        <v>4050.1358104879332</v>
      </c>
      <c r="J4" s="16">
        <f>$N$14*(1+$H$14)*POWER((1+$G$14),8)/$I$12</f>
        <v>4327.9751270874049</v>
      </c>
      <c r="K4" s="16">
        <f>$N$14*(1+$H$14)*POWER((1+$G$14),9)/$I$12</f>
        <v>4624.874220805601</v>
      </c>
      <c r="L4" s="16">
        <f>$N$14*(1+$H$14)*POWER((1+$G$14),10)/$I$12</f>
        <v>4942.1405923528646</v>
      </c>
      <c r="M4" s="16">
        <f>$N$14*(1+$H$14)*POWER((1+$G$14),11)/$I$12</f>
        <v>5281.1714369882702</v>
      </c>
      <c r="N4" s="16">
        <f>$N$14*(1+$H$14)*POWER((1+$G$14),12)/$I$12</f>
        <v>5643.4597975656652</v>
      </c>
      <c r="O4" s="16">
        <f>$N$14*(1+$H$14)*POWER((1+$G$14),13)/$I$12</f>
        <v>6030.6011396786698</v>
      </c>
      <c r="P4" s="16">
        <f>SUM(C4:O4)</f>
        <v>54289.210728212565</v>
      </c>
    </row>
    <row r="5" spans="1:16" ht="18" customHeight="1" x14ac:dyDescent="0.3">
      <c r="A5" s="4">
        <v>2</v>
      </c>
      <c r="B5" s="5" t="s">
        <v>2</v>
      </c>
      <c r="C5" s="16">
        <f t="shared" ref="C5:O5" si="0">(C6+C7+C8+C9)*(1+$H$14)</f>
        <v>89.397199691067968</v>
      </c>
      <c r="D5" s="16">
        <f t="shared" si="0"/>
        <v>89.397199691067968</v>
      </c>
      <c r="E5" s="16">
        <f t="shared" si="0"/>
        <v>125.58302209106799</v>
      </c>
      <c r="F5" s="16">
        <f t="shared" si="0"/>
        <v>125.58302209106799</v>
      </c>
      <c r="G5" s="16">
        <f t="shared" si="0"/>
        <v>125.58302209106799</v>
      </c>
      <c r="H5" s="16">
        <f t="shared" si="0"/>
        <v>125.58302209106799</v>
      </c>
      <c r="I5" s="16">
        <f t="shared" si="0"/>
        <v>125.58302209106799</v>
      </c>
      <c r="J5" s="16">
        <f t="shared" si="0"/>
        <v>125.58302209106799</v>
      </c>
      <c r="K5" s="16">
        <f t="shared" si="0"/>
        <v>125.58302209106799</v>
      </c>
      <c r="L5" s="16">
        <f t="shared" si="0"/>
        <v>1291.013501811068</v>
      </c>
      <c r="M5" s="16">
        <f t="shared" si="0"/>
        <v>125.58302209106799</v>
      </c>
      <c r="N5" s="16">
        <f t="shared" si="0"/>
        <v>125.58302209106799</v>
      </c>
      <c r="O5" s="16">
        <f t="shared" si="0"/>
        <v>125.58302209106799</v>
      </c>
      <c r="P5" s="16">
        <f>SUM(C5:O5)</f>
        <v>2725.6381221038837</v>
      </c>
    </row>
    <row r="6" spans="1:16" ht="24.75" customHeight="1" x14ac:dyDescent="0.3">
      <c r="A6" s="4">
        <v>2.1</v>
      </c>
      <c r="B6" s="5" t="s">
        <v>38</v>
      </c>
      <c r="C6" s="16">
        <f>$E$12*$J$12*70%</f>
        <v>60.647300000000001</v>
      </c>
      <c r="D6" s="16">
        <f>$E$12*$J$12*70%</f>
        <v>60.647300000000001</v>
      </c>
      <c r="E6" s="16">
        <f t="shared" ref="E6:O6" si="1">$E$12*$J$12</f>
        <v>86.63900000000001</v>
      </c>
      <c r="F6" s="16">
        <f t="shared" si="1"/>
        <v>86.63900000000001</v>
      </c>
      <c r="G6" s="16">
        <f t="shared" si="1"/>
        <v>86.63900000000001</v>
      </c>
      <c r="H6" s="16">
        <f t="shared" si="1"/>
        <v>86.63900000000001</v>
      </c>
      <c r="I6" s="16">
        <f t="shared" si="1"/>
        <v>86.63900000000001</v>
      </c>
      <c r="J6" s="16">
        <f t="shared" si="1"/>
        <v>86.63900000000001</v>
      </c>
      <c r="K6" s="16">
        <f t="shared" si="1"/>
        <v>86.63900000000001</v>
      </c>
      <c r="L6" s="16">
        <f t="shared" si="1"/>
        <v>86.63900000000001</v>
      </c>
      <c r="M6" s="16">
        <f t="shared" si="1"/>
        <v>86.63900000000001</v>
      </c>
      <c r="N6" s="16">
        <f t="shared" si="1"/>
        <v>86.63900000000001</v>
      </c>
      <c r="O6" s="16">
        <f t="shared" si="1"/>
        <v>86.63900000000001</v>
      </c>
      <c r="P6" s="16">
        <f t="shared" ref="P6:P9" si="2">SUM(C6:O6)</f>
        <v>1074.3236000000002</v>
      </c>
    </row>
    <row r="7" spans="1:16" ht="18" customHeight="1" x14ac:dyDescent="0.3">
      <c r="A7" s="17">
        <v>2.2000000000000002</v>
      </c>
      <c r="B7" s="18" t="s">
        <v>37</v>
      </c>
      <c r="C7" s="16">
        <f>$F$12*$I$14*70%/10000</f>
        <v>20.53884</v>
      </c>
      <c r="D7" s="16">
        <f>$F$12*$I$14*70%/10000</f>
        <v>20.53884</v>
      </c>
      <c r="E7" s="16">
        <f t="shared" ref="E7:O7" si="3">$F$12*$I$14/10000</f>
        <v>29.341200000000001</v>
      </c>
      <c r="F7" s="16">
        <f t="shared" si="3"/>
        <v>29.341200000000001</v>
      </c>
      <c r="G7" s="16">
        <f t="shared" si="3"/>
        <v>29.341200000000001</v>
      </c>
      <c r="H7" s="16">
        <f t="shared" si="3"/>
        <v>29.341200000000001</v>
      </c>
      <c r="I7" s="16">
        <f t="shared" si="3"/>
        <v>29.341200000000001</v>
      </c>
      <c r="J7" s="16">
        <f t="shared" si="3"/>
        <v>29.341200000000001</v>
      </c>
      <c r="K7" s="16">
        <f t="shared" si="3"/>
        <v>29.341200000000001</v>
      </c>
      <c r="L7" s="16">
        <f t="shared" si="3"/>
        <v>29.341200000000001</v>
      </c>
      <c r="M7" s="16">
        <f t="shared" si="3"/>
        <v>29.341200000000001</v>
      </c>
      <c r="N7" s="16">
        <f t="shared" si="3"/>
        <v>29.341200000000001</v>
      </c>
      <c r="O7" s="16">
        <f t="shared" si="3"/>
        <v>29.341200000000001</v>
      </c>
      <c r="P7" s="16">
        <f t="shared" si="2"/>
        <v>363.83088000000009</v>
      </c>
    </row>
    <row r="8" spans="1:16" ht="18" customHeight="1" x14ac:dyDescent="0.3">
      <c r="A8" s="8">
        <v>2.2999999999999998</v>
      </c>
      <c r="B8" s="9" t="s">
        <v>24</v>
      </c>
      <c r="C8" s="16"/>
      <c r="D8" s="16"/>
      <c r="E8" s="16"/>
      <c r="F8" s="16"/>
      <c r="G8" s="16"/>
      <c r="H8" s="16"/>
      <c r="I8" s="16"/>
      <c r="J8" s="19"/>
      <c r="K8" s="16"/>
      <c r="L8" s="16">
        <f>G12*E14</f>
        <v>1120.6062305</v>
      </c>
      <c r="M8" s="16"/>
      <c r="N8" s="16"/>
      <c r="O8" s="16"/>
      <c r="P8" s="16">
        <f t="shared" si="2"/>
        <v>1120.6062305</v>
      </c>
    </row>
    <row r="9" spans="1:16" ht="27.75" customHeight="1" x14ac:dyDescent="0.3">
      <c r="A9" s="4">
        <v>2.4</v>
      </c>
      <c r="B9" s="5" t="s">
        <v>7</v>
      </c>
      <c r="C9" s="16">
        <f t="shared" ref="C9:O9" si="4">$N$14*$H$12</f>
        <v>4.772705856796124</v>
      </c>
      <c r="D9" s="16">
        <f t="shared" si="4"/>
        <v>4.772705856796124</v>
      </c>
      <c r="E9" s="16">
        <f t="shared" si="4"/>
        <v>4.772705856796124</v>
      </c>
      <c r="F9" s="16">
        <f t="shared" si="4"/>
        <v>4.772705856796124</v>
      </c>
      <c r="G9" s="16">
        <f t="shared" si="4"/>
        <v>4.772705856796124</v>
      </c>
      <c r="H9" s="16">
        <f t="shared" si="4"/>
        <v>4.772705856796124</v>
      </c>
      <c r="I9" s="16">
        <f t="shared" si="4"/>
        <v>4.772705856796124</v>
      </c>
      <c r="J9" s="16">
        <f t="shared" si="4"/>
        <v>4.772705856796124</v>
      </c>
      <c r="K9" s="16">
        <f t="shared" si="4"/>
        <v>4.772705856796124</v>
      </c>
      <c r="L9" s="16">
        <f t="shared" si="4"/>
        <v>4.772705856796124</v>
      </c>
      <c r="M9" s="16">
        <f t="shared" si="4"/>
        <v>4.772705856796124</v>
      </c>
      <c r="N9" s="16">
        <f t="shared" si="4"/>
        <v>4.772705856796124</v>
      </c>
      <c r="O9" s="16">
        <f t="shared" si="4"/>
        <v>4.772705856796124</v>
      </c>
      <c r="P9" s="16">
        <f t="shared" si="2"/>
        <v>62.045176138349596</v>
      </c>
    </row>
    <row r="10" spans="1:16" ht="18" customHeight="1" x14ac:dyDescent="0.3">
      <c r="A10" s="4">
        <v>3</v>
      </c>
      <c r="B10" s="5" t="s">
        <v>26</v>
      </c>
      <c r="C10" s="16">
        <f>C4+C5</f>
        <v>2809.4577215963159</v>
      </c>
      <c r="D10" s="16">
        <f t="shared" ref="D10:O10" si="5">D4+D5</f>
        <v>2996.0538733990156</v>
      </c>
      <c r="E10" s="16">
        <f t="shared" si="5"/>
        <v>3231.6363436153806</v>
      </c>
      <c r="F10" s="16">
        <f t="shared" si="5"/>
        <v>3444.7116014719481</v>
      </c>
      <c r="G10" s="16">
        <f t="shared" si="5"/>
        <v>3672.4038220174762</v>
      </c>
      <c r="H10" s="16">
        <f t="shared" si="5"/>
        <v>3915.7157288924273</v>
      </c>
      <c r="I10" s="16">
        <f t="shared" si="5"/>
        <v>4175.7188325790012</v>
      </c>
      <c r="J10" s="16">
        <f t="shared" si="5"/>
        <v>4453.5581491784733</v>
      </c>
      <c r="K10" s="16">
        <f t="shared" si="5"/>
        <v>4750.4572428966694</v>
      </c>
      <c r="L10" s="16">
        <f t="shared" si="5"/>
        <v>6233.1540941639323</v>
      </c>
      <c r="M10" s="16">
        <f t="shared" si="5"/>
        <v>5406.7544590793386</v>
      </c>
      <c r="N10" s="16">
        <f t="shared" si="5"/>
        <v>5769.0428196567336</v>
      </c>
      <c r="O10" s="16">
        <f t="shared" si="5"/>
        <v>6156.1841617697382</v>
      </c>
      <c r="P10" s="25">
        <f>SUM(C10:O10)</f>
        <v>57014.848850316455</v>
      </c>
    </row>
    <row r="11" spans="1:16" ht="79.5" customHeight="1" x14ac:dyDescent="0.3">
      <c r="A11" s="29">
        <v>4</v>
      </c>
      <c r="B11" s="30" t="s">
        <v>5</v>
      </c>
      <c r="C11" s="5" t="s">
        <v>34</v>
      </c>
      <c r="D11" s="6" t="s">
        <v>27</v>
      </c>
      <c r="E11" s="6" t="s">
        <v>36</v>
      </c>
      <c r="F11" s="6" t="s">
        <v>35</v>
      </c>
      <c r="G11" s="6" t="s">
        <v>33</v>
      </c>
      <c r="H11" s="6" t="s">
        <v>40</v>
      </c>
      <c r="I11" s="6" t="s">
        <v>41</v>
      </c>
      <c r="J11" s="6" t="s">
        <v>39</v>
      </c>
      <c r="K11" s="19"/>
      <c r="L11" s="6"/>
      <c r="M11" s="6"/>
      <c r="N11" s="6"/>
      <c r="O11" s="6"/>
      <c r="P11" s="6"/>
    </row>
    <row r="12" spans="1:16" ht="18" customHeight="1" x14ac:dyDescent="0.3">
      <c r="A12" s="29"/>
      <c r="B12" s="30"/>
      <c r="C12" s="12">
        <v>22412.124609999999</v>
      </c>
      <c r="D12" s="12">
        <v>6893</v>
      </c>
      <c r="E12" s="23">
        <v>12.377000000000001</v>
      </c>
      <c r="F12" s="12">
        <v>48902</v>
      </c>
      <c r="G12" s="20">
        <v>0.05</v>
      </c>
      <c r="H12" s="21">
        <v>1.4999999999999999E-4</v>
      </c>
      <c r="I12" s="6">
        <v>13</v>
      </c>
      <c r="J12" s="6">
        <v>7</v>
      </c>
      <c r="K12" s="19"/>
      <c r="L12" s="12"/>
      <c r="M12" s="12"/>
      <c r="N12" s="12"/>
      <c r="O12" s="12"/>
      <c r="P12" s="7"/>
    </row>
    <row r="13" spans="1:16" ht="49.5" customHeight="1" x14ac:dyDescent="0.3">
      <c r="A13" s="29">
        <v>5</v>
      </c>
      <c r="B13" s="30" t="s">
        <v>43</v>
      </c>
      <c r="C13" s="38" t="s">
        <v>45</v>
      </c>
      <c r="D13" s="39"/>
      <c r="E13" s="5" t="s">
        <v>44</v>
      </c>
      <c r="F13" s="5" t="s">
        <v>23</v>
      </c>
      <c r="G13" s="5" t="s">
        <v>8</v>
      </c>
      <c r="H13" s="5" t="s">
        <v>6</v>
      </c>
      <c r="I13" s="24" t="s">
        <v>42</v>
      </c>
      <c r="J13" s="6" t="s">
        <v>28</v>
      </c>
      <c r="K13" s="6" t="s">
        <v>29</v>
      </c>
      <c r="L13" s="6" t="s">
        <v>30</v>
      </c>
      <c r="M13" s="6" t="s">
        <v>31</v>
      </c>
      <c r="N13" s="6" t="s">
        <v>32</v>
      </c>
      <c r="O13" s="10"/>
      <c r="P13" s="5"/>
    </row>
    <row r="14" spans="1:16" ht="18" customHeight="1" x14ac:dyDescent="0.3">
      <c r="A14" s="29"/>
      <c r="B14" s="30"/>
      <c r="C14" s="40">
        <f>P10*10000</f>
        <v>570148488.50316453</v>
      </c>
      <c r="D14" s="40"/>
      <c r="E14" s="22">
        <v>22412.124609999999</v>
      </c>
      <c r="F14" s="2">
        <v>6.8599999999999994E-2</v>
      </c>
      <c r="G14" s="2">
        <v>6.8599999999999994E-2</v>
      </c>
      <c r="H14" s="2">
        <v>0.04</v>
      </c>
      <c r="I14" s="13">
        <v>6</v>
      </c>
      <c r="J14" s="12">
        <f>E14</f>
        <v>22412.124609999999</v>
      </c>
      <c r="K14" s="12">
        <f>D12</f>
        <v>6893</v>
      </c>
      <c r="L14" s="14">
        <f>J14+K14</f>
        <v>29305.124609999999</v>
      </c>
      <c r="M14" s="14">
        <f>L14*F14*2.5/2</f>
        <v>2512.9144353074998</v>
      </c>
      <c r="N14" s="14">
        <f>L14+M14</f>
        <v>31818.039045307498</v>
      </c>
      <c r="O14" s="3"/>
      <c r="P14" s="5"/>
    </row>
    <row r="15" spans="1:16" ht="81" customHeight="1" x14ac:dyDescent="0.3">
      <c r="A15" s="36" t="s">
        <v>9</v>
      </c>
      <c r="B15" s="37"/>
      <c r="C15" s="26" t="s">
        <v>46</v>
      </c>
      <c r="D15" s="26"/>
      <c r="E15" s="26"/>
      <c r="F15" s="26"/>
      <c r="G15" s="26"/>
      <c r="H15" s="26"/>
      <c r="I15" s="26"/>
      <c r="J15" s="26"/>
      <c r="K15" s="26"/>
      <c r="L15" s="26"/>
      <c r="M15" s="26"/>
      <c r="N15" s="26"/>
      <c r="O15" s="26"/>
      <c r="P15" s="26"/>
    </row>
    <row r="17" spans="3:7" x14ac:dyDescent="0.3">
      <c r="C17" s="15"/>
    </row>
    <row r="18" spans="3:7" x14ac:dyDescent="0.3">
      <c r="C18" t="s">
        <v>3</v>
      </c>
      <c r="G18">
        <v>570148489</v>
      </c>
    </row>
    <row r="19" spans="3:7" x14ac:dyDescent="0.3">
      <c r="F19" t="s">
        <v>3</v>
      </c>
    </row>
  </sheetData>
  <sheetProtection algorithmName="SHA-512" hashValue="2vgqSgQ4ldphrdF3W0clvBAcFzLANOaDlMekSm12iM7//E7KSZgMSrrmk9V0i6hBuEO00/LEbUI5bCRnbLvXJQ==" saltValue="61rJFx21AovBbxdcCktLUA==" spinCount="100000" sheet="1" objects="1" scenarios="1"/>
  <protectedRanges>
    <protectedRange sqref="E14:I14" name="区域1"/>
  </protectedRanges>
  <mergeCells count="12">
    <mergeCell ref="C15:P15"/>
    <mergeCell ref="A1:P1"/>
    <mergeCell ref="A2:B3"/>
    <mergeCell ref="A11:A12"/>
    <mergeCell ref="A13:A14"/>
    <mergeCell ref="B11:B12"/>
    <mergeCell ref="B13:B14"/>
    <mergeCell ref="P2:P3"/>
    <mergeCell ref="C2:O2"/>
    <mergeCell ref="A15:B15"/>
    <mergeCell ref="C13:D13"/>
    <mergeCell ref="C14:D14"/>
  </mergeCells>
  <phoneticPr fontId="1" type="noConversion"/>
  <pageMargins left="0.69930555555555596" right="0.69930555555555596"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suface</cp:lastModifiedBy>
  <dcterms:created xsi:type="dcterms:W3CDTF">2006-09-16T00:00:00Z</dcterms:created>
  <dcterms:modified xsi:type="dcterms:W3CDTF">2019-09-22T13:19:50Z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2052-10.1.0.6930</vt:lpwstr>
  </property>
</Properties>
</file>