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59" activeTab="1"/>
  </bookViews>
  <sheets>
    <sheet name="项目总投资" sheetId="3" r:id="rId1"/>
    <sheet name="234座山塘维修养护 " sheetId="1" r:id="rId2"/>
    <sheet name="10座山塘白蚁防治" sheetId="4" r:id="rId3"/>
    <sheet name="正常管理数据" sheetId="5" r:id="rId4"/>
    <sheet name="标准化管理数据" sheetId="6" r:id="rId5"/>
  </sheets>
  <definedNames>
    <definedName name="_xlnm._FilterDatabase" localSheetId="1" hidden="1">'234座山塘维修养护 '!$A$2:$E$253</definedName>
    <definedName name="BX">#REF!</definedName>
    <definedName name="GCMC">#REF!</definedName>
    <definedName name="SKM">'234座山塘维修养护 '!$B$106:$B$219</definedName>
    <definedName name="工作闸类型系数">IF('234座山塘维修养护 '!#REF!="弧形钢闸门",1.2,IF('234座山塘维修养护 '!#REF!="平板钢闸门",1,0.5))</definedName>
    <definedName name="检修闸类型系数">IF('234座山塘维修养护 '!#REF!="弧形钢闸门",1.2*0.2,IF('234座山塘维修养护 '!#REF!="平板钢闸门",1*0.2,0.5*0.2))</definedName>
    <definedName name="数据区">'234座山塘维修养护 '!$B$106:$E$219</definedName>
    <definedName name="_xlnm.Print_Titles" localSheetId="1">'234座山塘维修养护 '!$1:$1</definedName>
    <definedName name="_xlnm.Print_Titles" localSheetId="3">正常管理数据!$1:$4</definedName>
    <definedName name="_xlnm.Print_Titles" localSheetId="2">'10座山塘白蚁防治'!$1:$2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O4" authorId="0">
      <text>
        <r>
          <rPr>
            <sz val="9"/>
            <rFont val="宋体"/>
            <charset val="134"/>
          </rPr>
          <t xml:space="preserve">混凝土剥蚀空蚀
磨损及裂缝处理
</t>
        </r>
      </text>
    </comment>
    <comment ref="P4" authorId="0">
      <text>
        <r>
          <rPr>
            <sz val="9"/>
            <rFont val="宋体"/>
            <charset val="134"/>
          </rPr>
          <t xml:space="preserve">止水更换
</t>
        </r>
      </text>
    </comment>
    <comment ref="Q4" authorId="0">
      <text>
        <r>
          <rPr>
            <sz val="9"/>
            <rFont val="宋体"/>
            <charset val="134"/>
          </rPr>
          <t>机体表面防腐处理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O4" authorId="0">
      <text>
        <r>
          <rPr>
            <sz val="9"/>
            <rFont val="宋体"/>
            <charset val="134"/>
          </rPr>
          <t xml:space="preserve">混凝土剥蚀空蚀
磨损及裂缝处理
</t>
        </r>
      </text>
    </comment>
    <comment ref="P4" authorId="0">
      <text>
        <r>
          <rPr>
            <sz val="9"/>
            <rFont val="宋体"/>
            <charset val="134"/>
          </rPr>
          <t xml:space="preserve">止水更换
</t>
        </r>
      </text>
    </comment>
    <comment ref="Q4" authorId="0">
      <text>
        <r>
          <rPr>
            <sz val="9"/>
            <rFont val="宋体"/>
            <charset val="134"/>
          </rPr>
          <t>机体表面防腐处理</t>
        </r>
      </text>
    </comment>
  </commentList>
</comments>
</file>

<file path=xl/sharedStrings.xml><?xml version="1.0" encoding="utf-8"?>
<sst xmlns="http://schemas.openxmlformats.org/spreadsheetml/2006/main" count="2080" uniqueCount="421">
  <si>
    <t>工程量清单计价汇总表</t>
  </si>
  <si>
    <t>项目名称：遂昌县2025年度山塘安全运行及维修养护项目</t>
  </si>
  <si>
    <t>序号</t>
  </si>
  <si>
    <t>工程项目名称</t>
  </si>
  <si>
    <t>合计（元）</t>
  </si>
  <si>
    <t>工程总投资</t>
  </si>
  <si>
    <t>（一）</t>
  </si>
  <si>
    <t>234座山塘维修养护</t>
  </si>
  <si>
    <t>（二）</t>
  </si>
  <si>
    <t>山塘维养应急抢修</t>
  </si>
  <si>
    <t>（三）</t>
  </si>
  <si>
    <t>10座山塘白蚁防治</t>
  </si>
  <si>
    <t>（四）</t>
  </si>
  <si>
    <t>3处美丽山塘创建技术服务</t>
  </si>
  <si>
    <t>合计</t>
  </si>
  <si>
    <t>234座山塘维修养护费用</t>
  </si>
  <si>
    <t>名称</t>
  </si>
  <si>
    <t>所在乡镇街道</t>
  </si>
  <si>
    <t>所在村</t>
  </si>
  <si>
    <t>坝体类型</t>
  </si>
  <si>
    <t>维修养护费用（元）</t>
  </si>
  <si>
    <t>龙井坑山塘</t>
  </si>
  <si>
    <t>妙高街道</t>
  </si>
  <si>
    <t>源坪村</t>
  </si>
  <si>
    <t>土石坝</t>
  </si>
  <si>
    <t>火直岭山塘</t>
  </si>
  <si>
    <t>苍畈村</t>
  </si>
  <si>
    <t>西坞岭山塘</t>
  </si>
  <si>
    <t>鲤鱼岗山塘</t>
  </si>
  <si>
    <t>金溪村</t>
  </si>
  <si>
    <t>三八山塘</t>
  </si>
  <si>
    <t>牛角尖山塘</t>
  </si>
  <si>
    <t>东街村</t>
  </si>
  <si>
    <t>姑尼垵山塘</t>
  </si>
  <si>
    <t>井东村</t>
  </si>
  <si>
    <t>官山岭山塘</t>
  </si>
  <si>
    <t>含晖村</t>
  </si>
  <si>
    <t>妙高街道内垵山塘</t>
  </si>
  <si>
    <t>上江村</t>
  </si>
  <si>
    <t>水井头山塘</t>
  </si>
  <si>
    <t>上派田山塘</t>
  </si>
  <si>
    <t>外坞山塘</t>
  </si>
  <si>
    <t>黄庄村</t>
  </si>
  <si>
    <t>袖垵山塘</t>
  </si>
  <si>
    <t>六葱垵山塘</t>
  </si>
  <si>
    <t>大桥村</t>
  </si>
  <si>
    <t>下垵山塘</t>
  </si>
  <si>
    <t>下毛坵山塘</t>
  </si>
  <si>
    <t>大坑垵山塘</t>
  </si>
  <si>
    <t>枫树垵山塘</t>
  </si>
  <si>
    <t>隔春垵山塘</t>
  </si>
  <si>
    <t>米缸丘山塘</t>
  </si>
  <si>
    <t>牛轭坞山塘</t>
  </si>
  <si>
    <t>塘李垵山塘</t>
  </si>
  <si>
    <t>乌岭夹山塘</t>
  </si>
  <si>
    <t>余家村</t>
  </si>
  <si>
    <t>竹林里山塘</t>
  </si>
  <si>
    <t>桑圩山塘</t>
  </si>
  <si>
    <t>上南门村</t>
  </si>
  <si>
    <t>东门龙井坑山塘</t>
  </si>
  <si>
    <t>北门村</t>
  </si>
  <si>
    <t>内坑源山塘</t>
  </si>
  <si>
    <t>长坑垵山塘</t>
  </si>
  <si>
    <t>凹克垵山塘</t>
  </si>
  <si>
    <t>刁岭下山塘</t>
  </si>
  <si>
    <t>鹤丘山塘</t>
  </si>
  <si>
    <t>上山源山塘</t>
  </si>
  <si>
    <t>江家山塘</t>
  </si>
  <si>
    <t>塘坪山塘</t>
  </si>
  <si>
    <t>林家山塘</t>
  </si>
  <si>
    <t>川坞山塘</t>
  </si>
  <si>
    <t>下坑山塘</t>
  </si>
  <si>
    <t>云峰街道</t>
  </si>
  <si>
    <t>东亭村</t>
  </si>
  <si>
    <t>塘里山塘</t>
  </si>
  <si>
    <t>长濂村</t>
  </si>
  <si>
    <t>塘上山塘</t>
  </si>
  <si>
    <t>十亩坞山塘</t>
  </si>
  <si>
    <t>东姑村</t>
  </si>
  <si>
    <t>外垵山塘</t>
  </si>
  <si>
    <t>龙祥村</t>
  </si>
  <si>
    <t>车后垵山塘</t>
  </si>
  <si>
    <t>长益山塘</t>
  </si>
  <si>
    <t>银都村</t>
  </si>
  <si>
    <t>水背山塘</t>
  </si>
  <si>
    <t>洋浩村</t>
  </si>
  <si>
    <t>长坑山塘</t>
  </si>
  <si>
    <t>子坞山塘</t>
  </si>
  <si>
    <t>范村村</t>
  </si>
  <si>
    <t>旦里山塘</t>
  </si>
  <si>
    <t>内坞山塘</t>
  </si>
  <si>
    <t>隔溪村</t>
  </si>
  <si>
    <t>双利源山塘</t>
  </si>
  <si>
    <t>古亭村</t>
  </si>
  <si>
    <t>燕塘山塘</t>
  </si>
  <si>
    <t>刘桃坞山塘</t>
  </si>
  <si>
    <t>龙口村</t>
  </si>
  <si>
    <t>前山山塘</t>
  </si>
  <si>
    <t>大步山塘</t>
  </si>
  <si>
    <t>马头村</t>
  </si>
  <si>
    <t>东源弄山塘</t>
  </si>
  <si>
    <t>下马村</t>
  </si>
  <si>
    <t>后坑边山塘</t>
  </si>
  <si>
    <t>桃树坞山塘</t>
  </si>
  <si>
    <t>连头村</t>
  </si>
  <si>
    <t>半边山塘</t>
  </si>
  <si>
    <t>同心村</t>
  </si>
  <si>
    <t>大岭背山塘</t>
  </si>
  <si>
    <t>黄坞山塘</t>
  </si>
  <si>
    <t>沙巴山塘</t>
  </si>
  <si>
    <t>小广坑山塘</t>
  </si>
  <si>
    <t>九溪山塘</t>
  </si>
  <si>
    <t>铁链岗山塘</t>
  </si>
  <si>
    <t>后坑山塘</t>
  </si>
  <si>
    <t>刘坞山塘</t>
  </si>
  <si>
    <t>马头村高岱山塘</t>
  </si>
  <si>
    <t>后山山塘</t>
  </si>
  <si>
    <t>毛田自然村斗米岭山塘</t>
  </si>
  <si>
    <t>斗米岭山塘（岩里）</t>
  </si>
  <si>
    <t>龙后山塘</t>
  </si>
  <si>
    <t>外岱山塘</t>
  </si>
  <si>
    <t>坑下源山塘</t>
  </si>
  <si>
    <t>水路大山塘</t>
  </si>
  <si>
    <t>铜坞源山塘</t>
  </si>
  <si>
    <t>燕塘凸山塘</t>
  </si>
  <si>
    <t>木岱岗山塘</t>
  </si>
  <si>
    <t>长垵山塘</t>
  </si>
  <si>
    <t>上杭源山塘</t>
  </si>
  <si>
    <t>新路湾镇</t>
  </si>
  <si>
    <t>蕉川村</t>
  </si>
  <si>
    <t>塘丘山塘</t>
  </si>
  <si>
    <t>小马埠村</t>
  </si>
  <si>
    <t>外山山塘</t>
  </si>
  <si>
    <t>隔后源山塘</t>
  </si>
  <si>
    <t>蕉坑山塘</t>
  </si>
  <si>
    <t>塘坞山塘</t>
  </si>
  <si>
    <t>夹路畈村</t>
  </si>
  <si>
    <t>培岭山塘</t>
  </si>
  <si>
    <t>青云岭山塘</t>
  </si>
  <si>
    <t>大马埠村</t>
  </si>
  <si>
    <t>垵下源内山塘</t>
  </si>
  <si>
    <t>蕉川村高岱山塘</t>
  </si>
  <si>
    <t>四角春山塘</t>
  </si>
  <si>
    <t>葫芦山山塘</t>
  </si>
  <si>
    <t>白依坞山塘</t>
  </si>
  <si>
    <t>湖边儿山塘</t>
  </si>
  <si>
    <t>三丘岭山塘</t>
  </si>
  <si>
    <t>濂竹乡</t>
  </si>
  <si>
    <t>大竹小岱村</t>
  </si>
  <si>
    <t>樟树倪山塘</t>
  </si>
  <si>
    <t>治岭头村</t>
  </si>
  <si>
    <t>金家庄山塘</t>
  </si>
  <si>
    <t>苏旺村</t>
  </si>
  <si>
    <t>枫树坑山塘</t>
  </si>
  <si>
    <t>柘坑村</t>
  </si>
  <si>
    <t>瓦窑岗山塘</t>
  </si>
  <si>
    <t>瓦窑岗村</t>
  </si>
  <si>
    <t>治岭头山塘</t>
  </si>
  <si>
    <t>连后山塘</t>
  </si>
  <si>
    <t>混凝土坝</t>
  </si>
  <si>
    <t>疗坞山塘</t>
  </si>
  <si>
    <t>北界镇</t>
  </si>
  <si>
    <t>淤弓村</t>
  </si>
  <si>
    <t>殿后山塘</t>
  </si>
  <si>
    <t>白水村</t>
  </si>
  <si>
    <t>岗背头山塘</t>
  </si>
  <si>
    <t>北界村</t>
  </si>
  <si>
    <t>西岱山塘</t>
  </si>
  <si>
    <t>垵口乡</t>
  </si>
  <si>
    <t>根竹口村</t>
  </si>
  <si>
    <t>根竹坑山塘</t>
  </si>
  <si>
    <t>麦岱岗山塘</t>
  </si>
  <si>
    <t>桂洋村</t>
  </si>
  <si>
    <t>黄塘山塘</t>
  </si>
  <si>
    <t>葛程山塘</t>
  </si>
  <si>
    <t>葛程村</t>
  </si>
  <si>
    <t>朱坑山塘</t>
  </si>
  <si>
    <t>金竹镇</t>
  </si>
  <si>
    <t>金竹村</t>
  </si>
  <si>
    <t>车皂坞山塘</t>
  </si>
  <si>
    <t>古楼村</t>
  </si>
  <si>
    <t>大坞弄山塘</t>
  </si>
  <si>
    <t>道冲山塘</t>
  </si>
  <si>
    <t>早坞村</t>
  </si>
  <si>
    <t>朝坞弄山塘</t>
  </si>
  <si>
    <t>黄蛇弄山塘</t>
  </si>
  <si>
    <t>派塘垵山塘</t>
  </si>
  <si>
    <t>四公坞山塘</t>
  </si>
  <si>
    <t>龙溪村</t>
  </si>
  <si>
    <t>大弄山塘</t>
  </si>
  <si>
    <t>王川村</t>
  </si>
  <si>
    <t>塘牛坞山塘</t>
  </si>
  <si>
    <t>大坑门口山塘</t>
  </si>
  <si>
    <t>新溪垅山塘</t>
  </si>
  <si>
    <t>蓬莲坑山塘</t>
  </si>
  <si>
    <t>百胜村</t>
  </si>
  <si>
    <t>田边山塘</t>
  </si>
  <si>
    <t>黄腰坪山塘</t>
  </si>
  <si>
    <t>鸭子坵山塘</t>
  </si>
  <si>
    <t>竹坞山塘</t>
  </si>
  <si>
    <t>岩上山塘</t>
  </si>
  <si>
    <t>叶村村</t>
  </si>
  <si>
    <t>翁坑山塘</t>
  </si>
  <si>
    <t>内安山塘</t>
  </si>
  <si>
    <t>田坞里山塘</t>
  </si>
  <si>
    <t>大坑山塘</t>
  </si>
  <si>
    <t>大上坪山塘</t>
  </si>
  <si>
    <t>门顶上山塘</t>
  </si>
  <si>
    <t>花瓶坞山塘</t>
  </si>
  <si>
    <t>包家山塘</t>
  </si>
  <si>
    <t>大水库山塘</t>
  </si>
  <si>
    <t>茶竹岭村</t>
  </si>
  <si>
    <t>对坞大山上山塘</t>
  </si>
  <si>
    <t>石玄背山塘</t>
  </si>
  <si>
    <t>东山塘山塘</t>
  </si>
  <si>
    <t>山后源山塘</t>
  </si>
  <si>
    <t>雄源坑山塘</t>
  </si>
  <si>
    <t>岭内村</t>
  </si>
  <si>
    <t>犁田坞山塘</t>
  </si>
  <si>
    <t>丁川坑山塘</t>
  </si>
  <si>
    <t>凉亭上山塘</t>
  </si>
  <si>
    <t>湖山乡</t>
  </si>
  <si>
    <t>黄泥岭村</t>
  </si>
  <si>
    <t>珠村畈村大坪头山塘</t>
  </si>
  <si>
    <t>珠村畈村</t>
  </si>
  <si>
    <t>半嘉山塘</t>
  </si>
  <si>
    <t>奕山村</t>
  </si>
  <si>
    <t>外塘门山塘</t>
  </si>
  <si>
    <t>垵下倪山塘</t>
  </si>
  <si>
    <t>园突倪山塘</t>
  </si>
  <si>
    <t>四亩山塘</t>
  </si>
  <si>
    <t>长安村</t>
  </si>
  <si>
    <t>湖山村内垵山塘</t>
  </si>
  <si>
    <t>湖山村</t>
  </si>
  <si>
    <t>大洪头山塘</t>
  </si>
  <si>
    <t>湖方村</t>
  </si>
  <si>
    <t>石竹坑山塘</t>
  </si>
  <si>
    <t>三归村</t>
  </si>
  <si>
    <t>郭岭田旺山塘</t>
  </si>
  <si>
    <t>姚岭村</t>
  </si>
  <si>
    <t>小弄内山塘</t>
  </si>
  <si>
    <t>高坑坞山塘</t>
  </si>
  <si>
    <t>红星坪村</t>
  </si>
  <si>
    <t>长塘山塘</t>
  </si>
  <si>
    <t>田坑山塘</t>
  </si>
  <si>
    <t>乘凉坑山塘</t>
  </si>
  <si>
    <t>金坑山塘</t>
  </si>
  <si>
    <t>茶园坑山塘</t>
  </si>
  <si>
    <t>华家坑山塘</t>
  </si>
  <si>
    <t>黄泥岭山塘（上垅山塘）</t>
  </si>
  <si>
    <t>建洋龙井山塘</t>
  </si>
  <si>
    <t>栏坑山塘</t>
  </si>
  <si>
    <t>平头岗山塘</t>
  </si>
  <si>
    <t>坪峰村</t>
  </si>
  <si>
    <t>窑岗山塘</t>
  </si>
  <si>
    <t>塔路岭山塘</t>
  </si>
  <si>
    <t>外担水岗山塘</t>
  </si>
  <si>
    <t>上后岭山塘</t>
  </si>
  <si>
    <t>大柘镇</t>
  </si>
  <si>
    <t>大田村</t>
  </si>
  <si>
    <t>后重山塘</t>
  </si>
  <si>
    <t>长潭山塘</t>
  </si>
  <si>
    <t>后垄村</t>
  </si>
  <si>
    <t>塘根岭脚山塘</t>
  </si>
  <si>
    <t>双溪新村</t>
  </si>
  <si>
    <t>杉树坞山塘</t>
  </si>
  <si>
    <t>永安村</t>
  </si>
  <si>
    <t>香严寺山塘</t>
  </si>
  <si>
    <t>桂坞山塘</t>
  </si>
  <si>
    <t>石练镇</t>
  </si>
  <si>
    <t>淤溪村</t>
  </si>
  <si>
    <t>龙头坑山塘</t>
  </si>
  <si>
    <t>迎新村</t>
  </si>
  <si>
    <t>百念坵山塘</t>
  </si>
  <si>
    <t>黄皮村</t>
  </si>
  <si>
    <t>太虚观山塘</t>
  </si>
  <si>
    <t>宏象村</t>
  </si>
  <si>
    <t>旺坑山塘</t>
  </si>
  <si>
    <t>烂浆塘山塘</t>
  </si>
  <si>
    <t>坞里坑山塘</t>
  </si>
  <si>
    <t>高坪乡</t>
  </si>
  <si>
    <t>高坪新村</t>
  </si>
  <si>
    <t>岱岭山塘</t>
  </si>
  <si>
    <t>石坪村</t>
  </si>
  <si>
    <t>洋义口山塘</t>
  </si>
  <si>
    <t>焦滩乡</t>
  </si>
  <si>
    <t>大路沿村</t>
  </si>
  <si>
    <t>烂泥坞山塘</t>
  </si>
  <si>
    <t>塘坑山塘</t>
  </si>
  <si>
    <t>独山村</t>
  </si>
  <si>
    <t>白峰墙山塘</t>
  </si>
  <si>
    <t>蔡源乡</t>
  </si>
  <si>
    <t>双溪村</t>
  </si>
  <si>
    <t>山头坪山塘</t>
  </si>
  <si>
    <t>黄沙腰镇</t>
  </si>
  <si>
    <t>大熟村</t>
  </si>
  <si>
    <t>顶盘山塘</t>
  </si>
  <si>
    <t>上定村</t>
  </si>
  <si>
    <t>木鞋桥山塘</t>
  </si>
  <si>
    <t>邵村村</t>
  </si>
  <si>
    <t>上庄山塘</t>
  </si>
  <si>
    <t>包柿源山塘</t>
  </si>
  <si>
    <t>应村乡</t>
  </si>
  <si>
    <t>桃溪村</t>
  </si>
  <si>
    <t>卜倪山塘</t>
  </si>
  <si>
    <t>三仁畲族乡</t>
  </si>
  <si>
    <t>小忠村</t>
  </si>
  <si>
    <t>白塔垵山塘</t>
  </si>
  <si>
    <t>大觉村</t>
  </si>
  <si>
    <t>坑里山塘</t>
  </si>
  <si>
    <t>好川村大岭山塘</t>
  </si>
  <si>
    <t>好川村</t>
  </si>
  <si>
    <t>龙藏山塘</t>
  </si>
  <si>
    <t>下寺山塘</t>
  </si>
  <si>
    <t>高碧街村</t>
  </si>
  <si>
    <t>水下倪山塘</t>
  </si>
  <si>
    <t>沙口村</t>
  </si>
  <si>
    <t>三仁乡内垵山塘</t>
  </si>
  <si>
    <t>沙门山塘</t>
  </si>
  <si>
    <t>大岭山塘</t>
  </si>
  <si>
    <t>坑口村</t>
  </si>
  <si>
    <t>横坞山塘</t>
  </si>
  <si>
    <t>蓬山山塘</t>
  </si>
  <si>
    <t>排前村</t>
  </si>
  <si>
    <t>坑春山塘</t>
  </si>
  <si>
    <t>石玄下坑山塘</t>
  </si>
  <si>
    <t>叶坞山塘</t>
  </si>
  <si>
    <t>王村口镇</t>
  </si>
  <si>
    <t>大坑村</t>
  </si>
  <si>
    <t>南栋山塘</t>
  </si>
  <si>
    <t>山前村</t>
  </si>
  <si>
    <t>凉水山塘</t>
  </si>
  <si>
    <t>桥东村</t>
  </si>
  <si>
    <t>青田坞山塘</t>
  </si>
  <si>
    <t>庄后山塘</t>
  </si>
  <si>
    <t>对正村</t>
  </si>
  <si>
    <t>下段前山塘</t>
  </si>
  <si>
    <t>上垵儿山塘</t>
  </si>
  <si>
    <t>后塘村</t>
  </si>
  <si>
    <t>大面山塘</t>
  </si>
  <si>
    <t>弓桥头村</t>
  </si>
  <si>
    <t>茅突山塘</t>
  </si>
  <si>
    <t>山枣坪村</t>
  </si>
  <si>
    <t>瑶池山塘</t>
  </si>
  <si>
    <t>石笋头村</t>
  </si>
  <si>
    <t>门口山塘</t>
  </si>
  <si>
    <t>柘岱口乡</t>
  </si>
  <si>
    <t>五星村</t>
  </si>
  <si>
    <t>东河口山塘</t>
  </si>
  <si>
    <t>柘岱口村</t>
  </si>
  <si>
    <t>大源山塘</t>
  </si>
  <si>
    <t>高坪山塘</t>
  </si>
  <si>
    <t>洞康山塘</t>
  </si>
  <si>
    <t>源口村</t>
  </si>
  <si>
    <t>大坞寮山塘</t>
  </si>
  <si>
    <t>庄山村</t>
  </si>
  <si>
    <t>小源山塘</t>
  </si>
  <si>
    <t>坑根山塘</t>
  </si>
  <si>
    <t>大坑口山塘</t>
  </si>
  <si>
    <t>排后山塘</t>
  </si>
  <si>
    <t>岭后山塘</t>
  </si>
  <si>
    <t>山岸源山塘</t>
  </si>
  <si>
    <t>垵下源山塘</t>
  </si>
  <si>
    <t>周坞源山塘</t>
  </si>
  <si>
    <t>馒头山山塘</t>
  </si>
  <si>
    <t>陈家塘山塘</t>
  </si>
  <si>
    <t>黄麻坞山塘</t>
  </si>
  <si>
    <t>黄垵村</t>
  </si>
  <si>
    <t>大垄山塘</t>
  </si>
  <si>
    <t>大垵村</t>
  </si>
  <si>
    <t>苎上山塘</t>
  </si>
  <si>
    <t>杉树垵山塘</t>
  </si>
  <si>
    <t>三仁乡</t>
  </si>
  <si>
    <t>大坑里山塘</t>
  </si>
  <si>
    <t>小计</t>
  </si>
  <si>
    <t>标化人员工资（预算中纳入山塘维养经费）</t>
  </si>
  <si>
    <t>10座山塘白蚁防治费用</t>
  </si>
  <si>
    <t>工程项目内容</t>
  </si>
  <si>
    <t>单位</t>
  </si>
  <si>
    <t>工程量</t>
  </si>
  <si>
    <t>单价</t>
  </si>
  <si>
    <t>合价</t>
  </si>
  <si>
    <t>备注</t>
  </si>
  <si>
    <t>一</t>
  </si>
  <si>
    <t>挖巢灭治（孔深2-3米）</t>
  </si>
  <si>
    <t>巢</t>
  </si>
  <si>
    <t>挖巢灭治（孔深1-2米）</t>
  </si>
  <si>
    <t>挖巢灭治（孔深0.5-1米）</t>
  </si>
  <si>
    <t>白蚁药物诱杀
（水库山塘）</t>
  </si>
  <si>
    <t>㎡</t>
  </si>
  <si>
    <t>白蚁监测装置</t>
  </si>
  <si>
    <t>个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</si>
  <si>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</si>
  <si>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</si>
  <si>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</si>
  <si>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</si>
  <si>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</si>
  <si>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</si>
  <si>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</si>
  <si>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</si>
  <si>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</si>
  <si>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遂昌县2025年度山塘安全运行及维修养护工程</t>
  </si>
  <si>
    <t>最大坝高
(米)</t>
  </si>
  <si>
    <t>坝长
(米)</t>
  </si>
  <si>
    <t>坝高调整系数</t>
  </si>
  <si>
    <t>坝长调整系数</t>
  </si>
  <si>
    <t>山塘标准调整系数</t>
  </si>
  <si>
    <t>调整系数</t>
  </si>
  <si>
    <t>草皮养护面积
(m²)</t>
  </si>
  <si>
    <t>总库容
(万方)</t>
  </si>
  <si>
    <t>维修养护等级</t>
  </si>
  <si>
    <t>维修养护费用测算</t>
  </si>
  <si>
    <t>一、主体工程维修养护</t>
  </si>
  <si>
    <t>二、溢洪道工程维修养护</t>
  </si>
  <si>
    <t>三、放水工程</t>
  </si>
  <si>
    <t>四、草皮养护</t>
  </si>
  <si>
    <t>五、观测设施配件更换、启闭机、机电设备维修养护配件更换</t>
  </si>
  <si>
    <t>六、生产管理用房维修养护</t>
  </si>
  <si>
    <t>七、利润</t>
  </si>
  <si>
    <t>八、税金</t>
  </si>
  <si>
    <t>九、工程保险费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</si>
</sst>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1][$-804]General"/>
    <numFmt numFmtId="178" formatCode="0_ "/>
    <numFmt numFmtId="179" formatCode="0.0_ "/>
  </numFmts>
  <fonts count="44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黑体"/>
      <charset val="134"/>
    </font>
    <font>
      <b/>
      <sz val="14"/>
      <name val="宋体"/>
      <charset val="134"/>
    </font>
    <font>
      <sz val="10"/>
      <color rgb="FF0070C0"/>
      <name val="宋体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4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0"/>
      <color indexed="8"/>
      <name val="仿宋"/>
      <charset val="134"/>
    </font>
    <font>
      <sz val="10"/>
      <color rgb="FF0070C0"/>
      <name val="仿宋"/>
      <charset val="134"/>
    </font>
    <font>
      <sz val="10"/>
      <name val="Arial"/>
      <charset val="134"/>
    </font>
    <font>
      <b/>
      <sz val="18"/>
      <color indexed="8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3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0" fillId="8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11" applyNumberFormat="0" applyAlignment="0" applyProtection="0">
      <alignment vertical="center"/>
    </xf>
    <xf numFmtId="0" fontId="32" fillId="10" borderId="12" applyNumberFormat="0" applyAlignment="0" applyProtection="0">
      <alignment vertical="center"/>
    </xf>
    <xf numFmtId="0" fontId="33" fillId="10" borderId="11" applyNumberFormat="0" applyAlignment="0" applyProtection="0">
      <alignment vertical="center"/>
    </xf>
    <xf numFmtId="0" fontId="34" fillId="11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0" fillId="0" borderId="0"/>
    <xf numFmtId="0" fontId="42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50" applyFont="1" applyFill="1" applyBorder="1" applyAlignment="1">
      <alignment horizontal="center" vertical="center"/>
    </xf>
    <xf numFmtId="176" fontId="2" fillId="4" borderId="1" xfId="5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8" fontId="1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NumberFormat="1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79" fontId="2" fillId="4" borderId="1" xfId="0" applyNumberFormat="1" applyFont="1" applyFill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5" borderId="0" xfId="0" applyFill="1"/>
    <xf numFmtId="178" fontId="0" fillId="0" borderId="0" xfId="0" applyNumberFormat="1"/>
    <xf numFmtId="0" fontId="9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8" fontId="10" fillId="4" borderId="1" xfId="0" applyNumberFormat="1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8" fontId="11" fillId="4" borderId="1" xfId="0" applyNumberFormat="1" applyFont="1" applyFill="1" applyBorder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178" fontId="12" fillId="0" borderId="1" xfId="0" applyNumberFormat="1" applyFont="1" applyFill="1" applyBorder="1" applyAlignment="1"/>
    <xf numFmtId="178" fontId="1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>
      <alignment horizontal="center" vertical="center"/>
    </xf>
    <xf numFmtId="178" fontId="15" fillId="6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78" fontId="15" fillId="3" borderId="1" xfId="0" applyNumberFormat="1" applyFont="1" applyFill="1" applyBorder="1" applyAlignment="1">
      <alignment horizontal="center" vertical="center"/>
    </xf>
    <xf numFmtId="178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/>
    <xf numFmtId="178" fontId="19" fillId="0" borderId="0" xfId="0" applyNumberFormat="1" applyFont="1" applyFill="1" applyAlignment="1"/>
    <xf numFmtId="0" fontId="20" fillId="0" borderId="0" xfId="49" applyFont="1" applyAlignment="1" applyProtection="1">
      <alignment horizontal="center" vertical="center"/>
      <protection locked="0"/>
    </xf>
    <xf numFmtId="178" fontId="20" fillId="0" borderId="0" xfId="49" applyNumberFormat="1" applyFont="1" applyAlignment="1" applyProtection="1">
      <alignment horizontal="center" vertical="center"/>
      <protection locked="0"/>
    </xf>
    <xf numFmtId="0" fontId="21" fillId="0" borderId="0" xfId="49" applyFont="1" applyBorder="1" applyAlignment="1" applyProtection="1">
      <alignment horizontal="left" vertical="center"/>
      <protection locked="0"/>
    </xf>
    <xf numFmtId="0" fontId="22" fillId="0" borderId="1" xfId="49" applyNumberFormat="1" applyFont="1" applyBorder="1" applyAlignment="1" applyProtection="1">
      <alignment horizontal="center" vertical="center"/>
      <protection locked="0"/>
    </xf>
    <xf numFmtId="178" fontId="22" fillId="0" borderId="1" xfId="49" applyNumberFormat="1" applyFont="1" applyBorder="1" applyAlignment="1" applyProtection="1">
      <alignment horizontal="center" vertical="center"/>
      <protection locked="0"/>
    </xf>
    <xf numFmtId="0" fontId="21" fillId="0" borderId="1" xfId="49" applyNumberFormat="1" applyFont="1" applyBorder="1" applyAlignment="1" applyProtection="1">
      <alignment horizontal="center" vertical="center"/>
      <protection locked="0"/>
    </xf>
    <xf numFmtId="178" fontId="21" fillId="0" borderId="1" xfId="49" applyNumberFormat="1" applyFont="1" applyBorder="1" applyAlignment="1" applyProtection="1">
      <alignment horizontal="center" vertical="center"/>
      <protection locked="0"/>
    </xf>
    <xf numFmtId="0" fontId="21" fillId="0" borderId="5" xfId="49" applyNumberFormat="1" applyFont="1" applyBorder="1" applyAlignment="1" applyProtection="1">
      <alignment horizontal="center" vertical="center"/>
      <protection locked="0"/>
    </xf>
    <xf numFmtId="0" fontId="21" fillId="0" borderId="6" xfId="49" applyNumberFormat="1" applyFont="1" applyBorder="1" applyAlignment="1" applyProtection="1">
      <alignment horizontal="center" vertical="center"/>
      <protection locked="0"/>
    </xf>
    <xf numFmtId="178" fontId="21" fillId="0" borderId="5" xfId="49" applyNumberFormat="1" applyFont="1" applyBorder="1" applyAlignment="1" applyProtection="1">
      <alignment horizontal="center" vertical="center"/>
      <protection locked="0"/>
    </xf>
    <xf numFmtId="178" fontId="21" fillId="0" borderId="6" xfId="49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Alignment="1"/>
    <xf numFmtId="178" fontId="15" fillId="0" borderId="0" xfId="0" applyNumberFormat="1" applyFont="1" applyFill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遂昌县黄沙腰大熟村水稻提升项目2015-6-16" xfId="49"/>
    <cellStyle name="常规_基本数据" xfId="50"/>
  </cellStyles>
  <dxfs count="2">
    <dxf>
      <font>
        <b val="0"/>
        <i val="0"/>
      </font>
      <fill>
        <patternFill patternType="solid">
          <bgColor indexed="45"/>
        </patternFill>
      </fill>
    </dxf>
    <dxf>
      <font>
        <b val="0"/>
        <i val="0"/>
      </font>
      <fill>
        <patternFill patternType="solid">
          <bgColor indexed="43"/>
        </patternFill>
      </fill>
    </dxf>
  </dxfs>
  <tableStyles count="0" defaultTableStyle="TableStyleMedium2"/>
  <colors>
    <mruColors>
      <color rgb="0099CCFF"/>
      <color rgb="00969696"/>
      <color rgb="0099CC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"/>
  <sheetViews>
    <sheetView workbookViewId="0">
      <selection activeCell="D9" sqref="D9:E9"/>
    </sheetView>
  </sheetViews>
  <sheetFormatPr defaultColWidth="9" defaultRowHeight="14.25"/>
  <cols>
    <col min="1" max="1" width="16.375" style="74" customWidth="1"/>
    <col min="2" max="2" width="14.875" style="74" customWidth="1"/>
    <col min="3" max="3" width="13.125" style="75" customWidth="1"/>
    <col min="4" max="4" width="11.125" style="74"/>
    <col min="5" max="5" width="11.875" style="74" customWidth="1"/>
    <col min="7" max="7" width="11.5"/>
    <col min="9" max="9" width="12.625"/>
  </cols>
  <sheetData>
    <row r="1" s="74" customFormat="1" ht="22.5" spans="1:5">
      <c r="A1" s="76" t="s">
        <v>0</v>
      </c>
      <c r="B1" s="76"/>
      <c r="C1" s="77"/>
      <c r="D1" s="76"/>
      <c r="E1" s="76"/>
    </row>
    <row r="2" s="74" customFormat="1" ht="27" customHeight="1" spans="1:5">
      <c r="A2" s="78" t="s">
        <v>1</v>
      </c>
      <c r="B2" s="78"/>
      <c r="C2" s="78"/>
      <c r="D2" s="78"/>
      <c r="E2" s="78"/>
    </row>
    <row r="3" s="74" customFormat="1" ht="24" customHeight="1" spans="1:5">
      <c r="A3" s="79" t="s">
        <v>2</v>
      </c>
      <c r="B3" s="79" t="s">
        <v>3</v>
      </c>
      <c r="C3" s="80"/>
      <c r="D3" s="79" t="s">
        <v>4</v>
      </c>
      <c r="E3" s="79"/>
    </row>
    <row r="4" s="74" customFormat="1" ht="25" customHeight="1" spans="1:5">
      <c r="A4" s="81">
        <v>1</v>
      </c>
      <c r="B4" s="81" t="s">
        <v>5</v>
      </c>
      <c r="C4" s="82"/>
      <c r="D4" s="82">
        <f>D5+D6+D7+D8</f>
        <v>1848259.23335855</v>
      </c>
      <c r="E4" s="82"/>
    </row>
    <row r="5" s="74" customFormat="1" ht="24" customHeight="1" spans="1:5">
      <c r="A5" s="81" t="s">
        <v>6</v>
      </c>
      <c r="B5" s="81" t="s">
        <v>7</v>
      </c>
      <c r="C5" s="82"/>
      <c r="D5" s="82">
        <f>正常管理数据!X220+标准化管理数据!X24</f>
        <v>1533259.23335855</v>
      </c>
      <c r="E5" s="82"/>
    </row>
    <row r="6" s="74" customFormat="1" ht="20" customHeight="1" spans="1:5">
      <c r="A6" s="81" t="s">
        <v>8</v>
      </c>
      <c r="B6" s="81" t="s">
        <v>9</v>
      </c>
      <c r="C6" s="82"/>
      <c r="D6" s="82">
        <v>200000</v>
      </c>
      <c r="E6" s="82"/>
    </row>
    <row r="7" s="74" customFormat="1" ht="19" customHeight="1" spans="1:5">
      <c r="A7" s="81" t="s">
        <v>10</v>
      </c>
      <c r="B7" s="81" t="s">
        <v>11</v>
      </c>
      <c r="C7" s="82"/>
      <c r="D7" s="82">
        <v>100000</v>
      </c>
      <c r="E7" s="82"/>
    </row>
    <row r="8" s="74" customFormat="1" ht="20" customHeight="1" spans="1:5">
      <c r="A8" s="81" t="s">
        <v>12</v>
      </c>
      <c r="B8" s="83" t="s">
        <v>13</v>
      </c>
      <c r="C8" s="84"/>
      <c r="D8" s="85">
        <v>15000</v>
      </c>
      <c r="E8" s="86"/>
    </row>
    <row r="9" s="74" customFormat="1" ht="21" customHeight="1" spans="1:9">
      <c r="A9" s="81"/>
      <c r="B9" s="79" t="s">
        <v>14</v>
      </c>
      <c r="C9" s="80"/>
      <c r="D9" s="80">
        <f>SUM(D5:E8)</f>
        <v>1848259.23335855</v>
      </c>
      <c r="E9" s="80"/>
      <c r="I9" s="75"/>
    </row>
    <row r="10" spans="1:5">
      <c r="A10" s="87"/>
      <c r="B10" s="87"/>
      <c r="C10" s="88"/>
      <c r="D10" s="87"/>
      <c r="E10" s="87"/>
    </row>
  </sheetData>
  <mergeCells count="16">
    <mergeCell ref="A1:E1"/>
    <mergeCell ref="A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294"/>
  <sheetViews>
    <sheetView tabSelected="1" view="pageBreakPreview" zoomScaleNormal="100" workbookViewId="0">
      <pane xSplit="3" ySplit="4" topLeftCell="D206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13.5" customHeight="1" outlineLevelCol="5"/>
  <cols>
    <col min="1" max="1" width="5.08333333333333" style="1" customWidth="1"/>
    <col min="2" max="2" width="15.5666666666667" style="1" customWidth="1"/>
    <col min="3" max="3" width="14.425" style="1" customWidth="1"/>
    <col min="4" max="4" width="12.2" style="1" customWidth="1"/>
    <col min="5" max="5" width="13.525" style="6" customWidth="1"/>
    <col min="6" max="6" width="18.0333333333333" style="1" customWidth="1"/>
    <col min="7" max="16384" width="9" style="1"/>
  </cols>
  <sheetData>
    <row r="1" ht="25" customHeight="1" spans="1:6">
      <c r="A1" s="56" t="s">
        <v>15</v>
      </c>
      <c r="B1" s="56"/>
      <c r="C1" s="56"/>
      <c r="D1" s="56"/>
      <c r="E1" s="56"/>
      <c r="F1" s="56"/>
    </row>
    <row r="2" s="54" customFormat="1" ht="18" customHeight="1" spans="1:6">
      <c r="A2" s="57" t="s">
        <v>2</v>
      </c>
      <c r="B2" s="57" t="s">
        <v>16</v>
      </c>
      <c r="C2" s="57" t="s">
        <v>17</v>
      </c>
      <c r="D2" s="57" t="s">
        <v>18</v>
      </c>
      <c r="E2" s="57" t="s">
        <v>19</v>
      </c>
      <c r="F2" s="58" t="s">
        <v>20</v>
      </c>
    </row>
    <row r="3" ht="10" hidden="1" customHeight="1" spans="1:6">
      <c r="A3" s="59"/>
      <c r="B3" s="59"/>
      <c r="C3" s="59"/>
      <c r="D3" s="59"/>
      <c r="E3" s="59"/>
      <c r="F3" s="60"/>
    </row>
    <row r="4" ht="4" customHeight="1" spans="1:6">
      <c r="A4" s="61"/>
      <c r="B4" s="61"/>
      <c r="C4" s="61"/>
      <c r="D4" s="61"/>
      <c r="E4" s="59"/>
      <c r="F4" s="60"/>
    </row>
    <row r="5" s="55" customFormat="1" customHeight="1" spans="1:6">
      <c r="A5" s="62">
        <v>1</v>
      </c>
      <c r="B5" s="63" t="s">
        <v>21</v>
      </c>
      <c r="C5" s="63" t="s">
        <v>22</v>
      </c>
      <c r="D5" s="63" t="s">
        <v>23</v>
      </c>
      <c r="E5" s="63" t="s">
        <v>24</v>
      </c>
      <c r="F5" s="64">
        <v>10259.3535075845</v>
      </c>
    </row>
    <row r="6" s="55" customFormat="1" customHeight="1" spans="1:6">
      <c r="A6" s="62">
        <v>2</v>
      </c>
      <c r="B6" s="63" t="s">
        <v>25</v>
      </c>
      <c r="C6" s="63" t="s">
        <v>22</v>
      </c>
      <c r="D6" s="63" t="s">
        <v>26</v>
      </c>
      <c r="E6" s="63" t="s">
        <v>24</v>
      </c>
      <c r="F6" s="64">
        <v>5711.08661519425</v>
      </c>
    </row>
    <row r="7" s="55" customFormat="1" customHeight="1" spans="1:6">
      <c r="A7" s="62">
        <v>3</v>
      </c>
      <c r="B7" s="63" t="s">
        <v>27</v>
      </c>
      <c r="C7" s="63" t="s">
        <v>22</v>
      </c>
      <c r="D7" s="63" t="s">
        <v>23</v>
      </c>
      <c r="E7" s="63" t="s">
        <v>24</v>
      </c>
      <c r="F7" s="64">
        <v>4073.99907457458</v>
      </c>
    </row>
    <row r="8" s="55" customFormat="1" customHeight="1" spans="1:6">
      <c r="A8" s="62">
        <v>4</v>
      </c>
      <c r="B8" s="63" t="s">
        <v>28</v>
      </c>
      <c r="C8" s="63" t="s">
        <v>22</v>
      </c>
      <c r="D8" s="63" t="s">
        <v>29</v>
      </c>
      <c r="E8" s="63" t="s">
        <v>24</v>
      </c>
      <c r="F8" s="64">
        <v>2722.01684480778</v>
      </c>
    </row>
    <row r="9" s="55" customFormat="1" customHeight="1" spans="1:6">
      <c r="A9" s="62">
        <v>5</v>
      </c>
      <c r="B9" s="63" t="s">
        <v>30</v>
      </c>
      <c r="C9" s="63" t="s">
        <v>22</v>
      </c>
      <c r="D9" s="63" t="s">
        <v>29</v>
      </c>
      <c r="E9" s="63" t="s">
        <v>24</v>
      </c>
      <c r="F9" s="64">
        <v>7708.00140955655</v>
      </c>
    </row>
    <row r="10" s="55" customFormat="1" customHeight="1" spans="1:6">
      <c r="A10" s="62">
        <v>6</v>
      </c>
      <c r="B10" s="63" t="s">
        <v>31</v>
      </c>
      <c r="C10" s="63" t="s">
        <v>22</v>
      </c>
      <c r="D10" s="63" t="s">
        <v>32</v>
      </c>
      <c r="E10" s="63" t="s">
        <v>24</v>
      </c>
      <c r="F10" s="64">
        <v>6587.87128915638</v>
      </c>
    </row>
    <row r="11" s="55" customFormat="1" customHeight="1" spans="1:6">
      <c r="A11" s="62">
        <v>7</v>
      </c>
      <c r="B11" s="63" t="s">
        <v>33</v>
      </c>
      <c r="C11" s="63" t="s">
        <v>22</v>
      </c>
      <c r="D11" s="63" t="s">
        <v>34</v>
      </c>
      <c r="E11" s="63" t="s">
        <v>24</v>
      </c>
      <c r="F11" s="64">
        <v>5510.39788542074</v>
      </c>
    </row>
    <row r="12" s="55" customFormat="1" customHeight="1" spans="1:6">
      <c r="A12" s="62">
        <v>8</v>
      </c>
      <c r="B12" s="63" t="s">
        <v>35</v>
      </c>
      <c r="C12" s="63" t="s">
        <v>22</v>
      </c>
      <c r="D12" s="63" t="s">
        <v>36</v>
      </c>
      <c r="E12" s="63" t="s">
        <v>24</v>
      </c>
      <c r="F12" s="64">
        <v>6880.11842471626</v>
      </c>
    </row>
    <row r="13" s="55" customFormat="1" customHeight="1" spans="1:6">
      <c r="A13" s="62">
        <v>9</v>
      </c>
      <c r="B13" s="63" t="s">
        <v>37</v>
      </c>
      <c r="C13" s="63" t="s">
        <v>22</v>
      </c>
      <c r="D13" s="63" t="s">
        <v>38</v>
      </c>
      <c r="E13" s="63" t="s">
        <v>24</v>
      </c>
      <c r="F13" s="64">
        <v>9079.50783776931</v>
      </c>
    </row>
    <row r="14" s="3" customFormat="1" customHeight="1" spans="1:6">
      <c r="A14" s="62">
        <v>10</v>
      </c>
      <c r="B14" s="65" t="s">
        <v>39</v>
      </c>
      <c r="C14" s="66" t="s">
        <v>22</v>
      </c>
      <c r="D14" s="66" t="s">
        <v>38</v>
      </c>
      <c r="E14" s="66" t="s">
        <v>24</v>
      </c>
      <c r="F14" s="67">
        <v>2200.36822694497</v>
      </c>
    </row>
    <row r="15" s="3" customFormat="1" customHeight="1" spans="1:6">
      <c r="A15" s="62">
        <v>11</v>
      </c>
      <c r="B15" s="65" t="s">
        <v>40</v>
      </c>
      <c r="C15" s="66" t="s">
        <v>22</v>
      </c>
      <c r="D15" s="66" t="s">
        <v>38</v>
      </c>
      <c r="E15" s="66" t="s">
        <v>24</v>
      </c>
      <c r="F15" s="67">
        <v>2851.76077231661</v>
      </c>
    </row>
    <row r="16" s="55" customFormat="1" customHeight="1" spans="1:6">
      <c r="A16" s="62">
        <v>12</v>
      </c>
      <c r="B16" s="63" t="s">
        <v>41</v>
      </c>
      <c r="C16" s="63" t="s">
        <v>22</v>
      </c>
      <c r="D16" s="63" t="s">
        <v>42</v>
      </c>
      <c r="E16" s="63" t="s">
        <v>24</v>
      </c>
      <c r="F16" s="64">
        <v>5875.25095203799</v>
      </c>
    </row>
    <row r="17" s="55" customFormat="1" customHeight="1" spans="1:6">
      <c r="A17" s="62">
        <v>13</v>
      </c>
      <c r="B17" s="63" t="s">
        <v>43</v>
      </c>
      <c r="C17" s="63" t="s">
        <v>22</v>
      </c>
      <c r="D17" s="63" t="s">
        <v>42</v>
      </c>
      <c r="E17" s="63" t="s">
        <v>24</v>
      </c>
      <c r="F17" s="64">
        <v>1922.071378766</v>
      </c>
    </row>
    <row r="18" s="55" customFormat="1" customHeight="1" spans="1:6">
      <c r="A18" s="62">
        <v>14</v>
      </c>
      <c r="B18" s="63" t="s">
        <v>44</v>
      </c>
      <c r="C18" s="63" t="s">
        <v>22</v>
      </c>
      <c r="D18" s="63" t="s">
        <v>45</v>
      </c>
      <c r="E18" s="63" t="s">
        <v>24</v>
      </c>
      <c r="F18" s="64">
        <v>5346.53193707894</v>
      </c>
    </row>
    <row r="19" s="55" customFormat="1" customHeight="1" spans="1:6">
      <c r="A19" s="62">
        <v>15</v>
      </c>
      <c r="B19" s="63" t="s">
        <v>46</v>
      </c>
      <c r="C19" s="63" t="s">
        <v>22</v>
      </c>
      <c r="D19" s="63" t="s">
        <v>45</v>
      </c>
      <c r="E19" s="63" t="s">
        <v>24</v>
      </c>
      <c r="F19" s="64">
        <v>5738.76132468715</v>
      </c>
    </row>
    <row r="20" s="55" customFormat="1" customHeight="1" spans="1:6">
      <c r="A20" s="62">
        <v>16</v>
      </c>
      <c r="B20" s="63" t="s">
        <v>47</v>
      </c>
      <c r="C20" s="63" t="s">
        <v>22</v>
      </c>
      <c r="D20" s="63" t="s">
        <v>26</v>
      </c>
      <c r="E20" s="63" t="s">
        <v>24</v>
      </c>
      <c r="F20" s="64">
        <v>4058.40322869328</v>
      </c>
    </row>
    <row r="21" s="55" customFormat="1" customHeight="1" spans="1:6">
      <c r="A21" s="62">
        <v>17</v>
      </c>
      <c r="B21" s="63" t="s">
        <v>48</v>
      </c>
      <c r="C21" s="63" t="s">
        <v>22</v>
      </c>
      <c r="D21" s="63" t="s">
        <v>26</v>
      </c>
      <c r="E21" s="63" t="s">
        <v>24</v>
      </c>
      <c r="F21" s="64">
        <v>3701.47096991172</v>
      </c>
    </row>
    <row r="22" s="55" customFormat="1" customHeight="1" spans="1:6">
      <c r="A22" s="62">
        <v>18</v>
      </c>
      <c r="B22" s="63" t="s">
        <v>49</v>
      </c>
      <c r="C22" s="63" t="s">
        <v>22</v>
      </c>
      <c r="D22" s="63" t="s">
        <v>26</v>
      </c>
      <c r="E22" s="63" t="s">
        <v>24</v>
      </c>
      <c r="F22" s="64">
        <v>5862.08540316983</v>
      </c>
    </row>
    <row r="23" s="55" customFormat="1" customHeight="1" spans="1:6">
      <c r="A23" s="62">
        <v>19</v>
      </c>
      <c r="B23" s="63" t="s">
        <v>50</v>
      </c>
      <c r="C23" s="63" t="s">
        <v>22</v>
      </c>
      <c r="D23" s="63" t="s">
        <v>23</v>
      </c>
      <c r="E23" s="63" t="s">
        <v>24</v>
      </c>
      <c r="F23" s="64">
        <v>4255.797568946</v>
      </c>
    </row>
    <row r="24" s="55" customFormat="1" customHeight="1" spans="1:6">
      <c r="A24" s="62">
        <v>20</v>
      </c>
      <c r="B24" s="63" t="s">
        <v>51</v>
      </c>
      <c r="C24" s="63" t="s">
        <v>22</v>
      </c>
      <c r="D24" s="63" t="s">
        <v>45</v>
      </c>
      <c r="E24" s="63" t="s">
        <v>24</v>
      </c>
      <c r="F24" s="64">
        <v>6434.44992338235</v>
      </c>
    </row>
    <row r="25" s="55" customFormat="1" customHeight="1" spans="1:6">
      <c r="A25" s="62">
        <v>21</v>
      </c>
      <c r="B25" s="63" t="s">
        <v>52</v>
      </c>
      <c r="C25" s="63" t="s">
        <v>22</v>
      </c>
      <c r="D25" s="63" t="s">
        <v>23</v>
      </c>
      <c r="E25" s="63" t="s">
        <v>24</v>
      </c>
      <c r="F25" s="64">
        <v>5679.89943105187</v>
      </c>
    </row>
    <row r="26" s="55" customFormat="1" customHeight="1" spans="1:6">
      <c r="A26" s="62">
        <v>22</v>
      </c>
      <c r="B26" s="63" t="s">
        <v>53</v>
      </c>
      <c r="C26" s="63" t="s">
        <v>22</v>
      </c>
      <c r="D26" s="63" t="s">
        <v>23</v>
      </c>
      <c r="E26" s="63" t="s">
        <v>24</v>
      </c>
      <c r="F26" s="64">
        <v>5424.54305700584</v>
      </c>
    </row>
    <row r="27" s="3" customFormat="1" customHeight="1" spans="1:6">
      <c r="A27" s="62">
        <v>23</v>
      </c>
      <c r="B27" s="66" t="s">
        <v>54</v>
      </c>
      <c r="C27" s="66" t="s">
        <v>22</v>
      </c>
      <c r="D27" s="66" t="s">
        <v>55</v>
      </c>
      <c r="E27" s="66" t="s">
        <v>24</v>
      </c>
      <c r="F27" s="67">
        <v>3557.97748242125</v>
      </c>
    </row>
    <row r="28" s="55" customFormat="1" customHeight="1" spans="1:6">
      <c r="A28" s="62">
        <v>24</v>
      </c>
      <c r="B28" s="63" t="s">
        <v>56</v>
      </c>
      <c r="C28" s="63" t="s">
        <v>22</v>
      </c>
      <c r="D28" s="63" t="s">
        <v>32</v>
      </c>
      <c r="E28" s="63" t="s">
        <v>24</v>
      </c>
      <c r="F28" s="64">
        <v>5284.96344845557</v>
      </c>
    </row>
    <row r="29" s="55" customFormat="1" customHeight="1" spans="1:6">
      <c r="A29" s="62">
        <v>25</v>
      </c>
      <c r="B29" s="63" t="s">
        <v>57</v>
      </c>
      <c r="C29" s="63" t="s">
        <v>22</v>
      </c>
      <c r="D29" s="63" t="s">
        <v>58</v>
      </c>
      <c r="E29" s="63" t="s">
        <v>24</v>
      </c>
      <c r="F29" s="64">
        <v>9762.04751984179</v>
      </c>
    </row>
    <row r="30" s="55" customFormat="1" customHeight="1" spans="1:6">
      <c r="A30" s="62">
        <v>26</v>
      </c>
      <c r="B30" s="63" t="s">
        <v>59</v>
      </c>
      <c r="C30" s="63" t="s">
        <v>22</v>
      </c>
      <c r="D30" s="63" t="s">
        <v>60</v>
      </c>
      <c r="E30" s="63" t="s">
        <v>24</v>
      </c>
      <c r="F30" s="64">
        <v>6151.61873636485</v>
      </c>
    </row>
    <row r="31" s="55" customFormat="1" customHeight="1" spans="1:6">
      <c r="A31" s="62">
        <v>27</v>
      </c>
      <c r="B31" s="63" t="s">
        <v>61</v>
      </c>
      <c r="C31" s="63" t="s">
        <v>22</v>
      </c>
      <c r="D31" s="63" t="s">
        <v>58</v>
      </c>
      <c r="E31" s="63" t="s">
        <v>24</v>
      </c>
      <c r="F31" s="64">
        <v>8561.81826335475</v>
      </c>
    </row>
    <row r="32" s="55" customFormat="1" customHeight="1" spans="1:6">
      <c r="A32" s="62">
        <v>28</v>
      </c>
      <c r="B32" s="63" t="s">
        <v>62</v>
      </c>
      <c r="C32" s="63" t="s">
        <v>22</v>
      </c>
      <c r="D32" s="63" t="s">
        <v>26</v>
      </c>
      <c r="E32" s="63" t="s">
        <v>24</v>
      </c>
      <c r="F32" s="64">
        <v>5110.19425495959</v>
      </c>
    </row>
    <row r="33" s="55" customFormat="1" customHeight="1" spans="1:6">
      <c r="A33" s="62">
        <v>29</v>
      </c>
      <c r="B33" s="63" t="s">
        <v>63</v>
      </c>
      <c r="C33" s="63" t="s">
        <v>22</v>
      </c>
      <c r="D33" s="63" t="s">
        <v>23</v>
      </c>
      <c r="E33" s="63" t="s">
        <v>24</v>
      </c>
      <c r="F33" s="64">
        <v>6059.41721909279</v>
      </c>
    </row>
    <row r="34" s="3" customFormat="1" customHeight="1" spans="1:6">
      <c r="A34" s="62">
        <v>30</v>
      </c>
      <c r="B34" s="66" t="s">
        <v>64</v>
      </c>
      <c r="C34" s="66" t="s">
        <v>22</v>
      </c>
      <c r="D34" s="66" t="s">
        <v>45</v>
      </c>
      <c r="E34" s="66" t="s">
        <v>24</v>
      </c>
      <c r="F34" s="67">
        <v>12278.5627935606</v>
      </c>
    </row>
    <row r="35" s="55" customFormat="1" customHeight="1" spans="1:6">
      <c r="A35" s="62">
        <v>31</v>
      </c>
      <c r="B35" s="63" t="s">
        <v>65</v>
      </c>
      <c r="C35" s="63" t="s">
        <v>22</v>
      </c>
      <c r="D35" s="63" t="s">
        <v>45</v>
      </c>
      <c r="E35" s="63" t="s">
        <v>24</v>
      </c>
      <c r="F35" s="64">
        <v>4532.19977745213</v>
      </c>
    </row>
    <row r="36" s="3" customFormat="1" customHeight="1" spans="1:6">
      <c r="A36" s="62">
        <v>32</v>
      </c>
      <c r="B36" s="66" t="s">
        <v>66</v>
      </c>
      <c r="C36" s="66" t="s">
        <v>22</v>
      </c>
      <c r="D36" s="66" t="s">
        <v>26</v>
      </c>
      <c r="E36" s="66" t="s">
        <v>24</v>
      </c>
      <c r="F36" s="67">
        <v>2878.13886070034</v>
      </c>
    </row>
    <row r="37" s="3" customFormat="1" customHeight="1" spans="1:6">
      <c r="A37" s="62">
        <v>33</v>
      </c>
      <c r="B37" s="66" t="s">
        <v>67</v>
      </c>
      <c r="C37" s="66" t="s">
        <v>22</v>
      </c>
      <c r="D37" s="66" t="s">
        <v>36</v>
      </c>
      <c r="E37" s="66" t="s">
        <v>24</v>
      </c>
      <c r="F37" s="67">
        <v>8773.50104540421</v>
      </c>
    </row>
    <row r="38" s="55" customFormat="1" customHeight="1" spans="1:6">
      <c r="A38" s="62">
        <v>34</v>
      </c>
      <c r="B38" s="63" t="s">
        <v>68</v>
      </c>
      <c r="C38" s="63" t="s">
        <v>22</v>
      </c>
      <c r="D38" s="63" t="s">
        <v>36</v>
      </c>
      <c r="E38" s="63" t="s">
        <v>24</v>
      </c>
      <c r="F38" s="64">
        <v>5089.32847567239</v>
      </c>
    </row>
    <row r="39" s="55" customFormat="1" customHeight="1" spans="1:6">
      <c r="A39" s="62">
        <v>35</v>
      </c>
      <c r="B39" s="63" t="s">
        <v>69</v>
      </c>
      <c r="C39" s="63" t="s">
        <v>22</v>
      </c>
      <c r="D39" s="63" t="s">
        <v>23</v>
      </c>
      <c r="E39" s="63" t="s">
        <v>24</v>
      </c>
      <c r="F39" s="64">
        <v>7334.03034983742</v>
      </c>
    </row>
    <row r="40" s="55" customFormat="1" customHeight="1" spans="1:6">
      <c r="A40" s="62">
        <v>36</v>
      </c>
      <c r="B40" s="63" t="s">
        <v>70</v>
      </c>
      <c r="C40" s="63" t="s">
        <v>22</v>
      </c>
      <c r="D40" s="63" t="s">
        <v>45</v>
      </c>
      <c r="E40" s="63" t="s">
        <v>24</v>
      </c>
      <c r="F40" s="64">
        <v>15051.8755100221</v>
      </c>
    </row>
    <row r="41" s="55" customFormat="1" customHeight="1" spans="1:6">
      <c r="A41" s="62">
        <v>37</v>
      </c>
      <c r="B41" s="63" t="s">
        <v>71</v>
      </c>
      <c r="C41" s="63" t="s">
        <v>72</v>
      </c>
      <c r="D41" s="63" t="s">
        <v>73</v>
      </c>
      <c r="E41" s="63" t="s">
        <v>24</v>
      </c>
      <c r="F41" s="64">
        <v>8694.47129322868</v>
      </c>
    </row>
    <row r="42" s="55" customFormat="1" customHeight="1" spans="1:6">
      <c r="A42" s="62">
        <v>38</v>
      </c>
      <c r="B42" s="63" t="s">
        <v>74</v>
      </c>
      <c r="C42" s="63" t="s">
        <v>72</v>
      </c>
      <c r="D42" s="63" t="s">
        <v>75</v>
      </c>
      <c r="E42" s="63" t="s">
        <v>24</v>
      </c>
      <c r="F42" s="64">
        <v>4977.54986046575</v>
      </c>
    </row>
    <row r="43" s="55" customFormat="1" customHeight="1" spans="1:6">
      <c r="A43" s="62">
        <v>39</v>
      </c>
      <c r="B43" s="63" t="s">
        <v>76</v>
      </c>
      <c r="C43" s="63" t="s">
        <v>72</v>
      </c>
      <c r="D43" s="63" t="s">
        <v>75</v>
      </c>
      <c r="E43" s="63" t="s">
        <v>24</v>
      </c>
      <c r="F43" s="64">
        <v>7686.08487749895</v>
      </c>
    </row>
    <row r="44" s="55" customFormat="1" customHeight="1" spans="1:6">
      <c r="A44" s="62">
        <v>40</v>
      </c>
      <c r="B44" s="63" t="s">
        <v>77</v>
      </c>
      <c r="C44" s="63" t="s">
        <v>72</v>
      </c>
      <c r="D44" s="63" t="s">
        <v>78</v>
      </c>
      <c r="E44" s="63" t="s">
        <v>24</v>
      </c>
      <c r="F44" s="64">
        <v>5451.7626193152</v>
      </c>
    </row>
    <row r="45" s="55" customFormat="1" customHeight="1" spans="1:6">
      <c r="A45" s="62">
        <v>41</v>
      </c>
      <c r="B45" s="63" t="s">
        <v>79</v>
      </c>
      <c r="C45" s="63" t="s">
        <v>72</v>
      </c>
      <c r="D45" s="63" t="s">
        <v>80</v>
      </c>
      <c r="E45" s="63" t="s">
        <v>24</v>
      </c>
      <c r="F45" s="64">
        <v>4727.43752222157</v>
      </c>
    </row>
    <row r="46" s="55" customFormat="1" customHeight="1" spans="1:6">
      <c r="A46" s="62">
        <v>42</v>
      </c>
      <c r="B46" s="63" t="s">
        <v>81</v>
      </c>
      <c r="C46" s="63" t="s">
        <v>72</v>
      </c>
      <c r="D46" s="63" t="s">
        <v>80</v>
      </c>
      <c r="E46" s="63" t="s">
        <v>24</v>
      </c>
      <c r="F46" s="64">
        <v>4559.78282790434</v>
      </c>
    </row>
    <row r="47" s="55" customFormat="1" customHeight="1" spans="1:6">
      <c r="A47" s="62">
        <v>43</v>
      </c>
      <c r="B47" s="63" t="s">
        <v>82</v>
      </c>
      <c r="C47" s="63" t="s">
        <v>72</v>
      </c>
      <c r="D47" s="63" t="s">
        <v>83</v>
      </c>
      <c r="E47" s="63" t="s">
        <v>24</v>
      </c>
      <c r="F47" s="64">
        <v>6782.9320015542</v>
      </c>
    </row>
    <row r="48" s="55" customFormat="1" customHeight="1" spans="1:6">
      <c r="A48" s="62">
        <v>44</v>
      </c>
      <c r="B48" s="63" t="s">
        <v>84</v>
      </c>
      <c r="C48" s="63" t="s">
        <v>72</v>
      </c>
      <c r="D48" s="63" t="s">
        <v>85</v>
      </c>
      <c r="E48" s="63" t="s">
        <v>24</v>
      </c>
      <c r="F48" s="64">
        <v>7954.02856706553</v>
      </c>
    </row>
    <row r="49" s="55" customFormat="1" customHeight="1" spans="1:6">
      <c r="A49" s="62">
        <v>45</v>
      </c>
      <c r="B49" s="63" t="s">
        <v>86</v>
      </c>
      <c r="C49" s="63" t="s">
        <v>72</v>
      </c>
      <c r="D49" s="63" t="s">
        <v>73</v>
      </c>
      <c r="E49" s="63" t="s">
        <v>24</v>
      </c>
      <c r="F49" s="64">
        <v>5295.97748507261</v>
      </c>
    </row>
    <row r="50" s="55" customFormat="1" customHeight="1" spans="1:6">
      <c r="A50" s="62">
        <v>46</v>
      </c>
      <c r="B50" s="63" t="s">
        <v>87</v>
      </c>
      <c r="C50" s="63" t="s">
        <v>72</v>
      </c>
      <c r="D50" s="63" t="s">
        <v>88</v>
      </c>
      <c r="E50" s="63" t="s">
        <v>24</v>
      </c>
      <c r="F50" s="64">
        <v>8914.99953913623</v>
      </c>
    </row>
    <row r="51" s="55" customFormat="1" customHeight="1" spans="1:6">
      <c r="A51" s="62">
        <v>47</v>
      </c>
      <c r="B51" s="63" t="s">
        <v>89</v>
      </c>
      <c r="C51" s="63" t="s">
        <v>72</v>
      </c>
      <c r="D51" s="63" t="s">
        <v>88</v>
      </c>
      <c r="E51" s="63" t="s">
        <v>24</v>
      </c>
      <c r="F51" s="64">
        <v>6180.1827979353</v>
      </c>
    </row>
    <row r="52" s="55" customFormat="1" customHeight="1" spans="1:6">
      <c r="A52" s="62">
        <v>48</v>
      </c>
      <c r="B52" s="63" t="s">
        <v>90</v>
      </c>
      <c r="C52" s="63" t="s">
        <v>72</v>
      </c>
      <c r="D52" s="63" t="s">
        <v>91</v>
      </c>
      <c r="E52" s="63" t="s">
        <v>24</v>
      </c>
      <c r="F52" s="64">
        <v>2796.40837848969</v>
      </c>
    </row>
    <row r="53" s="55" customFormat="1" customHeight="1" spans="1:6">
      <c r="A53" s="62">
        <v>49</v>
      </c>
      <c r="B53" s="63" t="s">
        <v>92</v>
      </c>
      <c r="C53" s="63" t="s">
        <v>72</v>
      </c>
      <c r="D53" s="63" t="s">
        <v>93</v>
      </c>
      <c r="E53" s="63" t="s">
        <v>24</v>
      </c>
      <c r="F53" s="64">
        <v>7904.13120713218</v>
      </c>
    </row>
    <row r="54" s="55" customFormat="1" customHeight="1" spans="1:6">
      <c r="A54" s="62">
        <v>50</v>
      </c>
      <c r="B54" s="63" t="s">
        <v>94</v>
      </c>
      <c r="C54" s="63" t="s">
        <v>72</v>
      </c>
      <c r="D54" s="63" t="s">
        <v>83</v>
      </c>
      <c r="E54" s="63" t="s">
        <v>24</v>
      </c>
      <c r="F54" s="64">
        <v>5202.70114439609</v>
      </c>
    </row>
    <row r="55" s="55" customFormat="1" customHeight="1" spans="1:6">
      <c r="A55" s="62">
        <v>51</v>
      </c>
      <c r="B55" s="63" t="s">
        <v>95</v>
      </c>
      <c r="C55" s="63" t="s">
        <v>72</v>
      </c>
      <c r="D55" s="63" t="s">
        <v>96</v>
      </c>
      <c r="E55" s="63" t="s">
        <v>24</v>
      </c>
      <c r="F55" s="64">
        <v>6425.03944965165</v>
      </c>
    </row>
    <row r="56" s="55" customFormat="1" customHeight="1" spans="1:6">
      <c r="A56" s="62">
        <v>52</v>
      </c>
      <c r="B56" s="63" t="s">
        <v>97</v>
      </c>
      <c r="C56" s="63" t="s">
        <v>72</v>
      </c>
      <c r="D56" s="63" t="s">
        <v>96</v>
      </c>
      <c r="E56" s="63" t="s">
        <v>24</v>
      </c>
      <c r="F56" s="64">
        <v>3664.55171117375</v>
      </c>
    </row>
    <row r="57" s="55" customFormat="1" customHeight="1" spans="1:6">
      <c r="A57" s="62">
        <v>53</v>
      </c>
      <c r="B57" s="63" t="s">
        <v>98</v>
      </c>
      <c r="C57" s="63" t="s">
        <v>72</v>
      </c>
      <c r="D57" s="63" t="s">
        <v>99</v>
      </c>
      <c r="E57" s="63" t="s">
        <v>24</v>
      </c>
      <c r="F57" s="64">
        <v>4648.48040535817</v>
      </c>
    </row>
    <row r="58" s="55" customFormat="1" customHeight="1" spans="1:6">
      <c r="A58" s="62">
        <v>54</v>
      </c>
      <c r="B58" s="63" t="s">
        <v>100</v>
      </c>
      <c r="C58" s="63" t="s">
        <v>72</v>
      </c>
      <c r="D58" s="63" t="s">
        <v>101</v>
      </c>
      <c r="E58" s="63" t="s">
        <v>24</v>
      </c>
      <c r="F58" s="64">
        <v>5789.08385596834</v>
      </c>
    </row>
    <row r="59" s="55" customFormat="1" customHeight="1" spans="1:6">
      <c r="A59" s="62">
        <v>55</v>
      </c>
      <c r="B59" s="63" t="s">
        <v>102</v>
      </c>
      <c r="C59" s="63" t="s">
        <v>72</v>
      </c>
      <c r="D59" s="63" t="s">
        <v>80</v>
      </c>
      <c r="E59" s="63" t="s">
        <v>24</v>
      </c>
      <c r="F59" s="64">
        <v>6940.33440637791</v>
      </c>
    </row>
    <row r="60" s="55" customFormat="1" customHeight="1" spans="1:6">
      <c r="A60" s="62">
        <v>56</v>
      </c>
      <c r="B60" s="63" t="s">
        <v>103</v>
      </c>
      <c r="C60" s="63" t="s">
        <v>72</v>
      </c>
      <c r="D60" s="63" t="s">
        <v>104</v>
      </c>
      <c r="E60" s="63" t="s">
        <v>24</v>
      </c>
      <c r="F60" s="64">
        <v>3133.31522175038</v>
      </c>
    </row>
    <row r="61" s="55" customFormat="1" customHeight="1" spans="1:6">
      <c r="A61" s="62">
        <v>57</v>
      </c>
      <c r="B61" s="63" t="s">
        <v>105</v>
      </c>
      <c r="C61" s="63" t="s">
        <v>72</v>
      </c>
      <c r="D61" s="63" t="s">
        <v>106</v>
      </c>
      <c r="E61" s="63" t="s">
        <v>24</v>
      </c>
      <c r="F61" s="64">
        <v>4787.07300321857</v>
      </c>
    </row>
    <row r="62" s="55" customFormat="1" customHeight="1" spans="1:6">
      <c r="A62" s="62">
        <v>58</v>
      </c>
      <c r="B62" s="63" t="s">
        <v>107</v>
      </c>
      <c r="C62" s="63" t="s">
        <v>72</v>
      </c>
      <c r="D62" s="63" t="s">
        <v>83</v>
      </c>
      <c r="E62" s="63" t="s">
        <v>24</v>
      </c>
      <c r="F62" s="64">
        <v>3114.85655812141</v>
      </c>
    </row>
    <row r="63" s="55" customFormat="1" customHeight="1" spans="1:6">
      <c r="A63" s="62">
        <v>59</v>
      </c>
      <c r="B63" s="63" t="s">
        <v>108</v>
      </c>
      <c r="C63" s="63" t="s">
        <v>72</v>
      </c>
      <c r="D63" s="63" t="s">
        <v>80</v>
      </c>
      <c r="E63" s="63" t="s">
        <v>24</v>
      </c>
      <c r="F63" s="64">
        <v>10063.1126076603</v>
      </c>
    </row>
    <row r="64" s="55" customFormat="1" customHeight="1" spans="1:6">
      <c r="A64" s="62">
        <v>60</v>
      </c>
      <c r="B64" s="63" t="s">
        <v>109</v>
      </c>
      <c r="C64" s="63" t="s">
        <v>72</v>
      </c>
      <c r="D64" s="63" t="s">
        <v>78</v>
      </c>
      <c r="E64" s="63" t="s">
        <v>24</v>
      </c>
      <c r="F64" s="64">
        <v>3936.76560184025</v>
      </c>
    </row>
    <row r="65" s="55" customFormat="1" customHeight="1" spans="1:6">
      <c r="A65" s="62">
        <v>61</v>
      </c>
      <c r="B65" s="63" t="s">
        <v>110</v>
      </c>
      <c r="C65" s="63" t="s">
        <v>72</v>
      </c>
      <c r="D65" s="63" t="s">
        <v>80</v>
      </c>
      <c r="E65" s="63" t="s">
        <v>24</v>
      </c>
      <c r="F65" s="64">
        <v>6984.75650008375</v>
      </c>
    </row>
    <row r="66" s="55" customFormat="1" customHeight="1" spans="1:6">
      <c r="A66" s="62">
        <v>62</v>
      </c>
      <c r="B66" s="63" t="s">
        <v>111</v>
      </c>
      <c r="C66" s="63" t="s">
        <v>72</v>
      </c>
      <c r="D66" s="63" t="s">
        <v>96</v>
      </c>
      <c r="E66" s="63" t="s">
        <v>24</v>
      </c>
      <c r="F66" s="64">
        <v>10720.5383465153</v>
      </c>
    </row>
    <row r="67" s="55" customFormat="1" customHeight="1" spans="1:6">
      <c r="A67" s="62">
        <v>63</v>
      </c>
      <c r="B67" s="63" t="s">
        <v>112</v>
      </c>
      <c r="C67" s="63" t="s">
        <v>72</v>
      </c>
      <c r="D67" s="63" t="s">
        <v>96</v>
      </c>
      <c r="E67" s="63" t="s">
        <v>24</v>
      </c>
      <c r="F67" s="64">
        <v>6638.21219998195</v>
      </c>
    </row>
    <row r="68" s="55" customFormat="1" customHeight="1" spans="1:6">
      <c r="A68" s="62">
        <v>64</v>
      </c>
      <c r="B68" s="63" t="s">
        <v>113</v>
      </c>
      <c r="C68" s="63" t="s">
        <v>72</v>
      </c>
      <c r="D68" s="63" t="s">
        <v>96</v>
      </c>
      <c r="E68" s="63" t="s">
        <v>24</v>
      </c>
      <c r="F68" s="64">
        <v>3512.51793385923</v>
      </c>
    </row>
    <row r="69" s="55" customFormat="1" customHeight="1" spans="1:6">
      <c r="A69" s="62">
        <v>65</v>
      </c>
      <c r="B69" s="63" t="s">
        <v>114</v>
      </c>
      <c r="C69" s="63" t="s">
        <v>72</v>
      </c>
      <c r="D69" s="63" t="s">
        <v>83</v>
      </c>
      <c r="E69" s="63" t="s">
        <v>24</v>
      </c>
      <c r="F69" s="64">
        <v>4369.95117284163</v>
      </c>
    </row>
    <row r="70" s="55" customFormat="1" customHeight="1" spans="1:6">
      <c r="A70" s="62">
        <v>66</v>
      </c>
      <c r="B70" s="63" t="s">
        <v>115</v>
      </c>
      <c r="C70" s="63" t="s">
        <v>72</v>
      </c>
      <c r="D70" s="63" t="s">
        <v>99</v>
      </c>
      <c r="E70" s="63" t="s">
        <v>24</v>
      </c>
      <c r="F70" s="64">
        <v>3523.38507187004</v>
      </c>
    </row>
    <row r="71" s="3" customFormat="1" customHeight="1" spans="1:6">
      <c r="A71" s="62">
        <v>67</v>
      </c>
      <c r="B71" s="65" t="s">
        <v>116</v>
      </c>
      <c r="C71" s="66" t="s">
        <v>72</v>
      </c>
      <c r="D71" s="66" t="s">
        <v>99</v>
      </c>
      <c r="E71" s="66" t="s">
        <v>24</v>
      </c>
      <c r="F71" s="67">
        <v>2159.63004640075</v>
      </c>
    </row>
    <row r="72" s="55" customFormat="1" customHeight="1" spans="1:6">
      <c r="A72" s="62">
        <v>68</v>
      </c>
      <c r="B72" s="63" t="s">
        <v>117</v>
      </c>
      <c r="C72" s="63" t="s">
        <v>72</v>
      </c>
      <c r="D72" s="63" t="s">
        <v>83</v>
      </c>
      <c r="E72" s="63" t="s">
        <v>24</v>
      </c>
      <c r="F72" s="64">
        <v>5877.16901735667</v>
      </c>
    </row>
    <row r="73" s="3" customFormat="1" customHeight="1" spans="1:6">
      <c r="A73" s="62">
        <v>69</v>
      </c>
      <c r="B73" s="65" t="s">
        <v>118</v>
      </c>
      <c r="C73" s="66" t="s">
        <v>72</v>
      </c>
      <c r="D73" s="66" t="s">
        <v>83</v>
      </c>
      <c r="E73" s="66" t="s">
        <v>24</v>
      </c>
      <c r="F73" s="67">
        <v>5764.05695642219</v>
      </c>
    </row>
    <row r="74" s="3" customFormat="1" customHeight="1" spans="1:6">
      <c r="A74" s="62">
        <v>70</v>
      </c>
      <c r="B74" s="65" t="s">
        <v>119</v>
      </c>
      <c r="C74" s="66" t="s">
        <v>72</v>
      </c>
      <c r="D74" s="66" t="s">
        <v>83</v>
      </c>
      <c r="E74" s="66" t="s">
        <v>24</v>
      </c>
      <c r="F74" s="67">
        <v>3619.70613131181</v>
      </c>
    </row>
    <row r="75" s="55" customFormat="1" customHeight="1" spans="1:6">
      <c r="A75" s="62">
        <v>71</v>
      </c>
      <c r="B75" s="63" t="s">
        <v>120</v>
      </c>
      <c r="C75" s="63" t="s">
        <v>72</v>
      </c>
      <c r="D75" s="63" t="s">
        <v>78</v>
      </c>
      <c r="E75" s="63" t="s">
        <v>24</v>
      </c>
      <c r="F75" s="64">
        <v>3205.02629694219</v>
      </c>
    </row>
    <row r="76" s="3" customFormat="1" customHeight="1" spans="1:6">
      <c r="A76" s="62">
        <v>72</v>
      </c>
      <c r="B76" s="66" t="s">
        <v>121</v>
      </c>
      <c r="C76" s="66" t="s">
        <v>72</v>
      </c>
      <c r="D76" s="66" t="s">
        <v>104</v>
      </c>
      <c r="E76" s="66" t="s">
        <v>24</v>
      </c>
      <c r="F76" s="67">
        <v>4851.36265667917</v>
      </c>
    </row>
    <row r="77" s="3" customFormat="1" customHeight="1" spans="1:6">
      <c r="A77" s="62">
        <v>73</v>
      </c>
      <c r="B77" s="66" t="s">
        <v>122</v>
      </c>
      <c r="C77" s="66" t="s">
        <v>72</v>
      </c>
      <c r="D77" s="66" t="s">
        <v>96</v>
      </c>
      <c r="E77" s="66" t="s">
        <v>24</v>
      </c>
      <c r="F77" s="67">
        <v>3767.38745592862</v>
      </c>
    </row>
    <row r="78" s="3" customFormat="1" customHeight="1" spans="1:6">
      <c r="A78" s="62">
        <v>74</v>
      </c>
      <c r="B78" s="66" t="s">
        <v>123</v>
      </c>
      <c r="C78" s="66" t="s">
        <v>72</v>
      </c>
      <c r="D78" s="66" t="s">
        <v>80</v>
      </c>
      <c r="E78" s="66" t="s">
        <v>24</v>
      </c>
      <c r="F78" s="67">
        <v>6681.6073859979</v>
      </c>
    </row>
    <row r="79" s="3" customFormat="1" customHeight="1" spans="1:6">
      <c r="A79" s="62">
        <v>75</v>
      </c>
      <c r="B79" s="65" t="s">
        <v>124</v>
      </c>
      <c r="C79" s="66" t="s">
        <v>72</v>
      </c>
      <c r="D79" s="66" t="s">
        <v>83</v>
      </c>
      <c r="E79" s="66" t="s">
        <v>24</v>
      </c>
      <c r="F79" s="67">
        <v>2301.90962586561</v>
      </c>
    </row>
    <row r="80" s="55" customFormat="1" customHeight="1" spans="1:6">
      <c r="A80" s="62">
        <v>76</v>
      </c>
      <c r="B80" s="63" t="s">
        <v>125</v>
      </c>
      <c r="C80" s="63" t="s">
        <v>72</v>
      </c>
      <c r="D80" s="63" t="s">
        <v>96</v>
      </c>
      <c r="E80" s="63" t="s">
        <v>24</v>
      </c>
      <c r="F80" s="64">
        <v>4928.42703650662</v>
      </c>
    </row>
    <row r="81" s="55" customFormat="1" customHeight="1" spans="1:6">
      <c r="A81" s="62">
        <v>77</v>
      </c>
      <c r="B81" s="63" t="s">
        <v>126</v>
      </c>
      <c r="C81" s="63" t="s">
        <v>72</v>
      </c>
      <c r="D81" s="63" t="s">
        <v>99</v>
      </c>
      <c r="E81" s="63" t="s">
        <v>24</v>
      </c>
      <c r="F81" s="64">
        <v>6864.24949939164</v>
      </c>
    </row>
    <row r="82" s="55" customFormat="1" customHeight="1" spans="1:6">
      <c r="A82" s="62">
        <v>78</v>
      </c>
      <c r="B82" s="63" t="s">
        <v>127</v>
      </c>
      <c r="C82" s="63" t="s">
        <v>128</v>
      </c>
      <c r="D82" s="63" t="s">
        <v>129</v>
      </c>
      <c r="E82" s="63" t="s">
        <v>24</v>
      </c>
      <c r="F82" s="64">
        <v>6574.11413979116</v>
      </c>
    </row>
    <row r="83" s="55" customFormat="1" customHeight="1" spans="1:6">
      <c r="A83" s="62">
        <v>79</v>
      </c>
      <c r="B83" s="63" t="s">
        <v>130</v>
      </c>
      <c r="C83" s="63" t="s">
        <v>128</v>
      </c>
      <c r="D83" s="63" t="s">
        <v>131</v>
      </c>
      <c r="E83" s="63" t="s">
        <v>24</v>
      </c>
      <c r="F83" s="64">
        <v>2714.76847791307</v>
      </c>
    </row>
    <row r="84" s="55" customFormat="1" customHeight="1" spans="1:6">
      <c r="A84" s="62">
        <v>80</v>
      </c>
      <c r="B84" s="63" t="s">
        <v>132</v>
      </c>
      <c r="C84" s="63" t="s">
        <v>128</v>
      </c>
      <c r="D84" s="63" t="s">
        <v>131</v>
      </c>
      <c r="E84" s="63" t="s">
        <v>24</v>
      </c>
      <c r="F84" s="64">
        <v>3213.72399930313</v>
      </c>
    </row>
    <row r="85" s="55" customFormat="1" customHeight="1" spans="1:6">
      <c r="A85" s="62">
        <v>81</v>
      </c>
      <c r="B85" s="63" t="s">
        <v>133</v>
      </c>
      <c r="C85" s="63" t="s">
        <v>128</v>
      </c>
      <c r="D85" s="63" t="s">
        <v>129</v>
      </c>
      <c r="E85" s="63" t="s">
        <v>24</v>
      </c>
      <c r="F85" s="64">
        <v>5575.00112367276</v>
      </c>
    </row>
    <row r="86" s="55" customFormat="1" customHeight="1" spans="1:6">
      <c r="A86" s="62">
        <v>82</v>
      </c>
      <c r="B86" s="63" t="s">
        <v>134</v>
      </c>
      <c r="C86" s="63" t="s">
        <v>128</v>
      </c>
      <c r="D86" s="63" t="s">
        <v>129</v>
      </c>
      <c r="E86" s="63" t="s">
        <v>24</v>
      </c>
      <c r="F86" s="64">
        <v>8544.66732739727</v>
      </c>
    </row>
    <row r="87" s="55" customFormat="1" customHeight="1" spans="1:6">
      <c r="A87" s="62">
        <v>83</v>
      </c>
      <c r="B87" s="63" t="s">
        <v>135</v>
      </c>
      <c r="C87" s="63" t="s">
        <v>128</v>
      </c>
      <c r="D87" s="63" t="s">
        <v>136</v>
      </c>
      <c r="E87" s="63" t="s">
        <v>24</v>
      </c>
      <c r="F87" s="64">
        <v>3578.57507565772</v>
      </c>
    </row>
    <row r="88" s="55" customFormat="1" customHeight="1" spans="1:6">
      <c r="A88" s="62">
        <v>84</v>
      </c>
      <c r="B88" s="63" t="s">
        <v>137</v>
      </c>
      <c r="C88" s="63" t="s">
        <v>128</v>
      </c>
      <c r="D88" s="63" t="s">
        <v>129</v>
      </c>
      <c r="E88" s="63" t="s">
        <v>24</v>
      </c>
      <c r="F88" s="64">
        <v>6541.22859213477</v>
      </c>
    </row>
    <row r="89" s="55" customFormat="1" customHeight="1" spans="1:6">
      <c r="A89" s="62">
        <v>85</v>
      </c>
      <c r="B89" s="63" t="s">
        <v>138</v>
      </c>
      <c r="C89" s="63" t="s">
        <v>128</v>
      </c>
      <c r="D89" s="63" t="s">
        <v>139</v>
      </c>
      <c r="E89" s="63" t="s">
        <v>24</v>
      </c>
      <c r="F89" s="64">
        <v>3966.63695329351</v>
      </c>
    </row>
    <row r="90" s="3" customFormat="1" customHeight="1" spans="1:6">
      <c r="A90" s="62">
        <v>86</v>
      </c>
      <c r="B90" s="65" t="s">
        <v>140</v>
      </c>
      <c r="C90" s="66" t="s">
        <v>128</v>
      </c>
      <c r="D90" s="66" t="s">
        <v>139</v>
      </c>
      <c r="E90" s="66" t="s">
        <v>24</v>
      </c>
      <c r="F90" s="67">
        <v>3238.47862051568</v>
      </c>
    </row>
    <row r="91" s="55" customFormat="1" customHeight="1" spans="1:6">
      <c r="A91" s="62">
        <v>87</v>
      </c>
      <c r="B91" s="63" t="s">
        <v>141</v>
      </c>
      <c r="C91" s="63" t="s">
        <v>128</v>
      </c>
      <c r="D91" s="63" t="s">
        <v>129</v>
      </c>
      <c r="E91" s="63" t="s">
        <v>24</v>
      </c>
      <c r="F91" s="64">
        <v>3030.3234584062</v>
      </c>
    </row>
    <row r="92" s="3" customFormat="1" customHeight="1" spans="1:6">
      <c r="A92" s="62">
        <v>88</v>
      </c>
      <c r="B92" s="65" t="s">
        <v>142</v>
      </c>
      <c r="C92" s="66" t="s">
        <v>128</v>
      </c>
      <c r="D92" s="66" t="s">
        <v>129</v>
      </c>
      <c r="E92" s="66" t="s">
        <v>24</v>
      </c>
      <c r="F92" s="67">
        <v>3423.02830053912</v>
      </c>
    </row>
    <row r="93" s="55" customFormat="1" customHeight="1" spans="1:6">
      <c r="A93" s="62">
        <v>89</v>
      </c>
      <c r="B93" s="63" t="s">
        <v>143</v>
      </c>
      <c r="C93" s="63" t="s">
        <v>128</v>
      </c>
      <c r="D93" s="63" t="s">
        <v>131</v>
      </c>
      <c r="E93" s="63" t="s">
        <v>24</v>
      </c>
      <c r="F93" s="64">
        <v>3254.9152256626</v>
      </c>
    </row>
    <row r="94" s="55" customFormat="1" customHeight="1" spans="1:6">
      <c r="A94" s="62">
        <v>90</v>
      </c>
      <c r="B94" s="63" t="s">
        <v>144</v>
      </c>
      <c r="C94" s="63" t="s">
        <v>128</v>
      </c>
      <c r="D94" s="63" t="s">
        <v>139</v>
      </c>
      <c r="E94" s="63" t="s">
        <v>24</v>
      </c>
      <c r="F94" s="64">
        <v>3256.07837543831</v>
      </c>
    </row>
    <row r="95" s="55" customFormat="1" customHeight="1" spans="1:6">
      <c r="A95" s="62">
        <v>91</v>
      </c>
      <c r="B95" s="63" t="s">
        <v>145</v>
      </c>
      <c r="C95" s="63" t="s">
        <v>128</v>
      </c>
      <c r="D95" s="63" t="s">
        <v>129</v>
      </c>
      <c r="E95" s="63" t="s">
        <v>24</v>
      </c>
      <c r="F95" s="64">
        <v>3570.26550058062</v>
      </c>
    </row>
    <row r="96" s="55" customFormat="1" customHeight="1" spans="1:6">
      <c r="A96" s="62">
        <v>92</v>
      </c>
      <c r="B96" s="63" t="s">
        <v>146</v>
      </c>
      <c r="C96" s="63" t="s">
        <v>147</v>
      </c>
      <c r="D96" s="63" t="s">
        <v>148</v>
      </c>
      <c r="E96" s="63" t="s">
        <v>24</v>
      </c>
      <c r="F96" s="64">
        <v>7008.74180463226</v>
      </c>
    </row>
    <row r="97" s="55" customFormat="1" customHeight="1" spans="1:6">
      <c r="A97" s="62">
        <v>93</v>
      </c>
      <c r="B97" s="63" t="s">
        <v>149</v>
      </c>
      <c r="C97" s="63" t="s">
        <v>147</v>
      </c>
      <c r="D97" s="63" t="s">
        <v>150</v>
      </c>
      <c r="E97" s="63" t="s">
        <v>24</v>
      </c>
      <c r="F97" s="64">
        <v>4335.95734062198</v>
      </c>
    </row>
    <row r="98" s="55" customFormat="1" customHeight="1" spans="1:6">
      <c r="A98" s="62">
        <v>94</v>
      </c>
      <c r="B98" s="63" t="s">
        <v>151</v>
      </c>
      <c r="C98" s="63" t="s">
        <v>147</v>
      </c>
      <c r="D98" s="63" t="s">
        <v>152</v>
      </c>
      <c r="E98" s="63" t="s">
        <v>24</v>
      </c>
      <c r="F98" s="64">
        <v>6143.58888426388</v>
      </c>
    </row>
    <row r="99" s="55" customFormat="1" customHeight="1" spans="1:6">
      <c r="A99" s="62">
        <v>95</v>
      </c>
      <c r="B99" s="63" t="s">
        <v>153</v>
      </c>
      <c r="C99" s="63" t="s">
        <v>147</v>
      </c>
      <c r="D99" s="63" t="s">
        <v>154</v>
      </c>
      <c r="E99" s="63" t="s">
        <v>24</v>
      </c>
      <c r="F99" s="64">
        <v>5315.71562336425</v>
      </c>
    </row>
    <row r="100" s="55" customFormat="1" customHeight="1" spans="1:6">
      <c r="A100" s="62">
        <v>96</v>
      </c>
      <c r="B100" s="63" t="s">
        <v>155</v>
      </c>
      <c r="C100" s="63" t="s">
        <v>147</v>
      </c>
      <c r="D100" s="63" t="s">
        <v>156</v>
      </c>
      <c r="E100" s="63" t="s">
        <v>24</v>
      </c>
      <c r="F100" s="64">
        <v>2103.58341578</v>
      </c>
    </row>
    <row r="101" s="55" customFormat="1" customHeight="1" spans="1:6">
      <c r="A101" s="62">
        <v>97</v>
      </c>
      <c r="B101" s="63" t="s">
        <v>157</v>
      </c>
      <c r="C101" s="63" t="s">
        <v>147</v>
      </c>
      <c r="D101" s="63" t="s">
        <v>150</v>
      </c>
      <c r="E101" s="63" t="s">
        <v>24</v>
      </c>
      <c r="F101" s="64">
        <v>6102.91985706392</v>
      </c>
    </row>
    <row r="102" s="3" customFormat="1" customHeight="1" spans="1:6">
      <c r="A102" s="62">
        <v>98</v>
      </c>
      <c r="B102" s="66" t="s">
        <v>158</v>
      </c>
      <c r="C102" s="66" t="s">
        <v>147</v>
      </c>
      <c r="D102" s="66" t="s">
        <v>150</v>
      </c>
      <c r="E102" s="66" t="s">
        <v>159</v>
      </c>
      <c r="F102" s="67">
        <v>1930.17459470413</v>
      </c>
    </row>
    <row r="103" s="55" customFormat="1" customHeight="1" spans="1:6">
      <c r="A103" s="62">
        <v>99</v>
      </c>
      <c r="B103" s="63" t="s">
        <v>160</v>
      </c>
      <c r="C103" s="63" t="s">
        <v>161</v>
      </c>
      <c r="D103" s="63" t="s">
        <v>162</v>
      </c>
      <c r="E103" s="63" t="s">
        <v>24</v>
      </c>
      <c r="F103" s="64">
        <v>4645.58314805354</v>
      </c>
    </row>
    <row r="104" s="55" customFormat="1" customHeight="1" spans="1:6">
      <c r="A104" s="62">
        <v>100</v>
      </c>
      <c r="B104" s="63" t="s">
        <v>163</v>
      </c>
      <c r="C104" s="63" t="s">
        <v>161</v>
      </c>
      <c r="D104" s="63" t="s">
        <v>164</v>
      </c>
      <c r="E104" s="63" t="s">
        <v>24</v>
      </c>
      <c r="F104" s="64">
        <v>6268.19555529481</v>
      </c>
    </row>
    <row r="105" s="55" customFormat="1" customHeight="1" spans="1:6">
      <c r="A105" s="62">
        <v>101</v>
      </c>
      <c r="B105" s="63" t="s">
        <v>165</v>
      </c>
      <c r="C105" s="63" t="s">
        <v>161</v>
      </c>
      <c r="D105" s="63" t="s">
        <v>166</v>
      </c>
      <c r="E105" s="63" t="s">
        <v>24</v>
      </c>
      <c r="F105" s="64">
        <v>14222.2574559976</v>
      </c>
    </row>
    <row r="106" s="55" customFormat="1" customHeight="1" spans="1:6">
      <c r="A106" s="62">
        <v>102</v>
      </c>
      <c r="B106" s="63" t="s">
        <v>167</v>
      </c>
      <c r="C106" s="63" t="s">
        <v>168</v>
      </c>
      <c r="D106" s="63" t="s">
        <v>169</v>
      </c>
      <c r="E106" s="63" t="s">
        <v>24</v>
      </c>
      <c r="F106" s="64">
        <v>5660.57026103544</v>
      </c>
    </row>
    <row r="107" s="55" customFormat="1" customHeight="1" spans="1:6">
      <c r="A107" s="62">
        <v>103</v>
      </c>
      <c r="B107" s="63" t="s">
        <v>170</v>
      </c>
      <c r="C107" s="63" t="s">
        <v>168</v>
      </c>
      <c r="D107" s="63" t="s">
        <v>169</v>
      </c>
      <c r="E107" s="63" t="s">
        <v>24</v>
      </c>
      <c r="F107" s="64">
        <v>10247.2730203049</v>
      </c>
    </row>
    <row r="108" s="55" customFormat="1" customHeight="1" spans="1:6">
      <c r="A108" s="62">
        <v>104</v>
      </c>
      <c r="B108" s="63" t="s">
        <v>171</v>
      </c>
      <c r="C108" s="63" t="s">
        <v>168</v>
      </c>
      <c r="D108" s="63" t="s">
        <v>172</v>
      </c>
      <c r="E108" s="63" t="s">
        <v>24</v>
      </c>
      <c r="F108" s="64">
        <v>5774.62991756897</v>
      </c>
    </row>
    <row r="109" s="55" customFormat="1" customHeight="1" spans="1:6">
      <c r="A109" s="62">
        <v>105</v>
      </c>
      <c r="B109" s="63" t="s">
        <v>173</v>
      </c>
      <c r="C109" s="63" t="s">
        <v>168</v>
      </c>
      <c r="D109" s="63" t="s">
        <v>172</v>
      </c>
      <c r="E109" s="63" t="s">
        <v>24</v>
      </c>
      <c r="F109" s="64">
        <v>2983.02544154471</v>
      </c>
    </row>
    <row r="110" s="55" customFormat="1" customHeight="1" spans="1:6">
      <c r="A110" s="62">
        <v>106</v>
      </c>
      <c r="B110" s="63" t="s">
        <v>174</v>
      </c>
      <c r="C110" s="63" t="s">
        <v>168</v>
      </c>
      <c r="D110" s="63" t="s">
        <v>175</v>
      </c>
      <c r="E110" s="63" t="s">
        <v>24</v>
      </c>
      <c r="F110" s="64">
        <v>3902.49735404375</v>
      </c>
    </row>
    <row r="111" s="55" customFormat="1" customHeight="1" spans="1:6">
      <c r="A111" s="62">
        <v>107</v>
      </c>
      <c r="B111" s="63" t="s">
        <v>176</v>
      </c>
      <c r="C111" s="63" t="s">
        <v>177</v>
      </c>
      <c r="D111" s="63" t="s">
        <v>178</v>
      </c>
      <c r="E111" s="63" t="s">
        <v>24</v>
      </c>
      <c r="F111" s="64">
        <v>13102.8593620656</v>
      </c>
    </row>
    <row r="112" s="55" customFormat="1" customHeight="1" spans="1:6">
      <c r="A112" s="62">
        <v>108</v>
      </c>
      <c r="B112" s="63" t="s">
        <v>179</v>
      </c>
      <c r="C112" s="63" t="s">
        <v>177</v>
      </c>
      <c r="D112" s="63" t="s">
        <v>180</v>
      </c>
      <c r="E112" s="63" t="s">
        <v>24</v>
      </c>
      <c r="F112" s="64">
        <v>5380.16527580551</v>
      </c>
    </row>
    <row r="113" s="55" customFormat="1" customHeight="1" spans="1:6">
      <c r="A113" s="62">
        <v>109</v>
      </c>
      <c r="B113" s="63" t="s">
        <v>181</v>
      </c>
      <c r="C113" s="63" t="s">
        <v>177</v>
      </c>
      <c r="D113" s="63" t="s">
        <v>180</v>
      </c>
      <c r="E113" s="63" t="s">
        <v>24</v>
      </c>
      <c r="F113" s="64">
        <v>5264.21875833681</v>
      </c>
    </row>
    <row r="114" s="55" customFormat="1" customHeight="1" spans="1:6">
      <c r="A114" s="62">
        <v>110</v>
      </c>
      <c r="B114" s="63" t="s">
        <v>182</v>
      </c>
      <c r="C114" s="63" t="s">
        <v>177</v>
      </c>
      <c r="D114" s="63" t="s">
        <v>183</v>
      </c>
      <c r="E114" s="63" t="s">
        <v>24</v>
      </c>
      <c r="F114" s="64">
        <v>2626.83322981861</v>
      </c>
    </row>
    <row r="115" s="55" customFormat="1" customHeight="1" spans="1:6">
      <c r="A115" s="62">
        <v>111</v>
      </c>
      <c r="B115" s="63" t="s">
        <v>184</v>
      </c>
      <c r="C115" s="63" t="s">
        <v>177</v>
      </c>
      <c r="D115" s="63" t="s">
        <v>178</v>
      </c>
      <c r="E115" s="63" t="s">
        <v>24</v>
      </c>
      <c r="F115" s="64">
        <v>3434.93522529922</v>
      </c>
    </row>
    <row r="116" s="55" customFormat="1" customHeight="1" spans="1:6">
      <c r="A116" s="62">
        <v>112</v>
      </c>
      <c r="B116" s="63" t="s">
        <v>185</v>
      </c>
      <c r="C116" s="63" t="s">
        <v>177</v>
      </c>
      <c r="D116" s="63" t="s">
        <v>178</v>
      </c>
      <c r="E116" s="63" t="s">
        <v>24</v>
      </c>
      <c r="F116" s="64">
        <v>5884.13467479811</v>
      </c>
    </row>
    <row r="117" s="55" customFormat="1" customHeight="1" spans="1:6">
      <c r="A117" s="62">
        <v>113</v>
      </c>
      <c r="B117" s="63" t="s">
        <v>186</v>
      </c>
      <c r="C117" s="63" t="s">
        <v>177</v>
      </c>
      <c r="D117" s="63" t="s">
        <v>178</v>
      </c>
      <c r="E117" s="63" t="s">
        <v>24</v>
      </c>
      <c r="F117" s="64">
        <v>2894.42816722741</v>
      </c>
    </row>
    <row r="118" s="55" customFormat="1" customHeight="1" spans="1:6">
      <c r="A118" s="62">
        <v>114</v>
      </c>
      <c r="B118" s="63" t="s">
        <v>187</v>
      </c>
      <c r="C118" s="63" t="s">
        <v>177</v>
      </c>
      <c r="D118" s="63" t="s">
        <v>188</v>
      </c>
      <c r="E118" s="63" t="s">
        <v>24</v>
      </c>
      <c r="F118" s="64">
        <v>7546.9416276167</v>
      </c>
    </row>
    <row r="119" s="55" customFormat="1" customHeight="1" spans="1:6">
      <c r="A119" s="62">
        <v>115</v>
      </c>
      <c r="B119" s="63" t="s">
        <v>189</v>
      </c>
      <c r="C119" s="63" t="s">
        <v>177</v>
      </c>
      <c r="D119" s="63" t="s">
        <v>190</v>
      </c>
      <c r="E119" s="63" t="s">
        <v>24</v>
      </c>
      <c r="F119" s="64">
        <v>4251.26048509386</v>
      </c>
    </row>
    <row r="120" s="55" customFormat="1" customHeight="1" spans="1:6">
      <c r="A120" s="62">
        <v>116</v>
      </c>
      <c r="B120" s="63" t="s">
        <v>191</v>
      </c>
      <c r="C120" s="63" t="s">
        <v>177</v>
      </c>
      <c r="D120" s="63" t="s">
        <v>190</v>
      </c>
      <c r="E120" s="63" t="s">
        <v>24</v>
      </c>
      <c r="F120" s="64">
        <v>3865.1167848912</v>
      </c>
    </row>
    <row r="121" s="55" customFormat="1" customHeight="1" spans="1:6">
      <c r="A121" s="62">
        <v>117</v>
      </c>
      <c r="B121" s="63" t="s">
        <v>192</v>
      </c>
      <c r="C121" s="63" t="s">
        <v>177</v>
      </c>
      <c r="D121" s="63" t="s">
        <v>190</v>
      </c>
      <c r="E121" s="63" t="s">
        <v>24</v>
      </c>
      <c r="F121" s="64">
        <v>2072.1036098475</v>
      </c>
    </row>
    <row r="122" s="55" customFormat="1" customHeight="1" spans="1:6">
      <c r="A122" s="62">
        <v>118</v>
      </c>
      <c r="B122" s="63" t="s">
        <v>193</v>
      </c>
      <c r="C122" s="63" t="s">
        <v>177</v>
      </c>
      <c r="D122" s="63" t="s">
        <v>188</v>
      </c>
      <c r="E122" s="63" t="s">
        <v>24</v>
      </c>
      <c r="F122" s="64">
        <v>3221.66515092249</v>
      </c>
    </row>
    <row r="123" s="55" customFormat="1" customHeight="1" spans="1:6">
      <c r="A123" s="62">
        <v>119</v>
      </c>
      <c r="B123" s="63" t="s">
        <v>194</v>
      </c>
      <c r="C123" s="63" t="s">
        <v>177</v>
      </c>
      <c r="D123" s="63" t="s">
        <v>195</v>
      </c>
      <c r="E123" s="63" t="s">
        <v>24</v>
      </c>
      <c r="F123" s="64">
        <v>7934.24155225059</v>
      </c>
    </row>
    <row r="124" s="55" customFormat="1" customHeight="1" spans="1:6">
      <c r="A124" s="62">
        <v>120</v>
      </c>
      <c r="B124" s="63" t="s">
        <v>196</v>
      </c>
      <c r="C124" s="63" t="s">
        <v>177</v>
      </c>
      <c r="D124" s="63" t="s">
        <v>188</v>
      </c>
      <c r="E124" s="63" t="s">
        <v>24</v>
      </c>
      <c r="F124" s="64">
        <v>4941.57137321531</v>
      </c>
    </row>
    <row r="125" s="55" customFormat="1" customHeight="1" spans="1:6">
      <c r="A125" s="62">
        <v>121</v>
      </c>
      <c r="B125" s="63" t="s">
        <v>197</v>
      </c>
      <c r="C125" s="63" t="s">
        <v>177</v>
      </c>
      <c r="D125" s="63" t="s">
        <v>183</v>
      </c>
      <c r="E125" s="63" t="s">
        <v>24</v>
      </c>
      <c r="F125" s="64">
        <v>7343.78862959884</v>
      </c>
    </row>
    <row r="126" s="55" customFormat="1" customHeight="1" spans="1:6">
      <c r="A126" s="62">
        <v>122</v>
      </c>
      <c r="B126" s="63" t="s">
        <v>198</v>
      </c>
      <c r="C126" s="63" t="s">
        <v>177</v>
      </c>
      <c r="D126" s="63" t="s">
        <v>183</v>
      </c>
      <c r="E126" s="63" t="s">
        <v>24</v>
      </c>
      <c r="F126" s="64">
        <v>6790.97272486347</v>
      </c>
    </row>
    <row r="127" s="55" customFormat="1" customHeight="1" spans="1:6">
      <c r="A127" s="62">
        <v>123</v>
      </c>
      <c r="B127" s="63" t="s">
        <v>199</v>
      </c>
      <c r="C127" s="63" t="s">
        <v>177</v>
      </c>
      <c r="D127" s="63" t="s">
        <v>183</v>
      </c>
      <c r="E127" s="63" t="s">
        <v>24</v>
      </c>
      <c r="F127" s="64">
        <v>5301.07173687986</v>
      </c>
    </row>
    <row r="128" s="55" customFormat="1" customHeight="1" spans="1:6">
      <c r="A128" s="62">
        <v>124</v>
      </c>
      <c r="B128" s="63" t="s">
        <v>200</v>
      </c>
      <c r="C128" s="63" t="s">
        <v>177</v>
      </c>
      <c r="D128" s="63" t="s">
        <v>201</v>
      </c>
      <c r="E128" s="63" t="s">
        <v>24</v>
      </c>
      <c r="F128" s="64">
        <v>6020.15979878431</v>
      </c>
    </row>
    <row r="129" s="55" customFormat="1" customHeight="1" spans="1:6">
      <c r="A129" s="62">
        <v>125</v>
      </c>
      <c r="B129" s="63" t="s">
        <v>202</v>
      </c>
      <c r="C129" s="63" t="s">
        <v>177</v>
      </c>
      <c r="D129" s="63" t="s">
        <v>178</v>
      </c>
      <c r="E129" s="63" t="s">
        <v>24</v>
      </c>
      <c r="F129" s="64">
        <v>10827.6925134676</v>
      </c>
    </row>
    <row r="130" s="55" customFormat="1" customHeight="1" spans="1:6">
      <c r="A130" s="62">
        <v>126</v>
      </c>
      <c r="B130" s="63" t="s">
        <v>203</v>
      </c>
      <c r="C130" s="63" t="s">
        <v>177</v>
      </c>
      <c r="D130" s="63" t="s">
        <v>190</v>
      </c>
      <c r="E130" s="63" t="s">
        <v>24</v>
      </c>
      <c r="F130" s="64">
        <v>2245.56627006999</v>
      </c>
    </row>
    <row r="131" s="55" customFormat="1" customHeight="1" spans="1:6">
      <c r="A131" s="62">
        <v>127</v>
      </c>
      <c r="B131" s="63" t="s">
        <v>204</v>
      </c>
      <c r="C131" s="63" t="s">
        <v>177</v>
      </c>
      <c r="D131" s="63" t="s">
        <v>190</v>
      </c>
      <c r="E131" s="63" t="s">
        <v>24</v>
      </c>
      <c r="F131" s="64">
        <v>3637.04627155766</v>
      </c>
    </row>
    <row r="132" s="2" customFormat="1" customHeight="1" spans="1:6">
      <c r="A132" s="62">
        <v>128</v>
      </c>
      <c r="B132" s="63" t="s">
        <v>205</v>
      </c>
      <c r="C132" s="63" t="s">
        <v>177</v>
      </c>
      <c r="D132" s="63" t="s">
        <v>190</v>
      </c>
      <c r="E132" s="63" t="s">
        <v>159</v>
      </c>
      <c r="F132" s="68">
        <v>5807.92087793879</v>
      </c>
    </row>
    <row r="133" s="3" customFormat="1" customHeight="1" spans="1:6">
      <c r="A133" s="62">
        <v>129</v>
      </c>
      <c r="B133" s="65" t="s">
        <v>206</v>
      </c>
      <c r="C133" s="66" t="s">
        <v>177</v>
      </c>
      <c r="D133" s="66" t="s">
        <v>190</v>
      </c>
      <c r="E133" s="66" t="s">
        <v>24</v>
      </c>
      <c r="F133" s="67">
        <v>2074.49069662825</v>
      </c>
    </row>
    <row r="134" s="3" customFormat="1" customHeight="1" spans="1:6">
      <c r="A134" s="62">
        <v>130</v>
      </c>
      <c r="B134" s="65" t="s">
        <v>207</v>
      </c>
      <c r="C134" s="66" t="s">
        <v>177</v>
      </c>
      <c r="D134" s="66" t="s">
        <v>190</v>
      </c>
      <c r="E134" s="66" t="s">
        <v>24</v>
      </c>
      <c r="F134" s="67">
        <v>2754.44331466093</v>
      </c>
    </row>
    <row r="135" s="55" customFormat="1" customHeight="1" spans="1:6">
      <c r="A135" s="62">
        <v>131</v>
      </c>
      <c r="B135" s="63" t="s">
        <v>208</v>
      </c>
      <c r="C135" s="63" t="s">
        <v>177</v>
      </c>
      <c r="D135" s="63" t="s">
        <v>183</v>
      </c>
      <c r="E135" s="63" t="s">
        <v>24</v>
      </c>
      <c r="F135" s="64">
        <v>5995.39833262466</v>
      </c>
    </row>
    <row r="136" s="3" customFormat="1" customHeight="1" spans="1:6">
      <c r="A136" s="62">
        <v>132</v>
      </c>
      <c r="B136" s="65" t="s">
        <v>209</v>
      </c>
      <c r="C136" s="66" t="s">
        <v>177</v>
      </c>
      <c r="D136" s="66" t="s">
        <v>180</v>
      </c>
      <c r="E136" s="66" t="s">
        <v>24</v>
      </c>
      <c r="F136" s="67">
        <v>2462.63286239035</v>
      </c>
    </row>
    <row r="137" s="3" customFormat="1" customHeight="1" spans="1:6">
      <c r="A137" s="62">
        <v>133</v>
      </c>
      <c r="B137" s="65" t="s">
        <v>210</v>
      </c>
      <c r="C137" s="66" t="s">
        <v>177</v>
      </c>
      <c r="D137" s="66" t="s">
        <v>211</v>
      </c>
      <c r="E137" s="66" t="s">
        <v>24</v>
      </c>
      <c r="F137" s="67">
        <v>4634.53884967384</v>
      </c>
    </row>
    <row r="138" s="3" customFormat="1" customHeight="1" spans="1:6">
      <c r="A138" s="62">
        <v>134</v>
      </c>
      <c r="B138" s="65" t="s">
        <v>212</v>
      </c>
      <c r="C138" s="66" t="s">
        <v>177</v>
      </c>
      <c r="D138" s="66" t="s">
        <v>180</v>
      </c>
      <c r="E138" s="66" t="s">
        <v>24</v>
      </c>
      <c r="F138" s="67">
        <v>3814.95640765156</v>
      </c>
    </row>
    <row r="139" s="55" customFormat="1" customHeight="1" spans="1:6">
      <c r="A139" s="62">
        <v>135</v>
      </c>
      <c r="B139" s="63" t="s">
        <v>213</v>
      </c>
      <c r="C139" s="63" t="s">
        <v>177</v>
      </c>
      <c r="D139" s="63" t="s">
        <v>178</v>
      </c>
      <c r="E139" s="63" t="s">
        <v>24</v>
      </c>
      <c r="F139" s="64">
        <v>3844.96452088307</v>
      </c>
    </row>
    <row r="140" s="55" customFormat="1" customHeight="1" spans="1:6">
      <c r="A140" s="62">
        <v>136</v>
      </c>
      <c r="B140" s="63" t="s">
        <v>214</v>
      </c>
      <c r="C140" s="63" t="s">
        <v>177</v>
      </c>
      <c r="D140" s="63" t="s">
        <v>180</v>
      </c>
      <c r="E140" s="63" t="s">
        <v>24</v>
      </c>
      <c r="F140" s="64">
        <v>8861.99296781414</v>
      </c>
    </row>
    <row r="141" s="3" customFormat="1" customHeight="1" spans="1:6">
      <c r="A141" s="62">
        <v>137</v>
      </c>
      <c r="B141" s="65" t="s">
        <v>215</v>
      </c>
      <c r="C141" s="66" t="s">
        <v>177</v>
      </c>
      <c r="D141" s="66" t="s">
        <v>190</v>
      </c>
      <c r="E141" s="66" t="s">
        <v>24</v>
      </c>
      <c r="F141" s="67">
        <v>3771.20149208051</v>
      </c>
    </row>
    <row r="142" s="3" customFormat="1" customHeight="1" spans="1:6">
      <c r="A142" s="62">
        <v>138</v>
      </c>
      <c r="B142" s="65" t="s">
        <v>216</v>
      </c>
      <c r="C142" s="66" t="s">
        <v>177</v>
      </c>
      <c r="D142" s="66" t="s">
        <v>217</v>
      </c>
      <c r="E142" s="66" t="s">
        <v>24</v>
      </c>
      <c r="F142" s="67">
        <v>3130.28057529679</v>
      </c>
    </row>
    <row r="143" s="55" customFormat="1" customHeight="1" spans="1:6">
      <c r="A143" s="62">
        <v>139</v>
      </c>
      <c r="B143" s="63" t="s">
        <v>218</v>
      </c>
      <c r="C143" s="63" t="s">
        <v>177</v>
      </c>
      <c r="D143" s="63" t="s">
        <v>178</v>
      </c>
      <c r="E143" s="63" t="s">
        <v>24</v>
      </c>
      <c r="F143" s="64">
        <v>2556.58489718817</v>
      </c>
    </row>
    <row r="144" s="55" customFormat="1" customHeight="1" spans="1:6">
      <c r="A144" s="62">
        <v>140</v>
      </c>
      <c r="B144" s="63" t="s">
        <v>219</v>
      </c>
      <c r="C144" s="63" t="s">
        <v>177</v>
      </c>
      <c r="D144" s="63" t="s">
        <v>195</v>
      </c>
      <c r="E144" s="63" t="s">
        <v>24</v>
      </c>
      <c r="F144" s="64">
        <v>7436.5567911311</v>
      </c>
    </row>
    <row r="145" s="55" customFormat="1" customHeight="1" spans="1:6">
      <c r="A145" s="62">
        <v>141</v>
      </c>
      <c r="B145" s="63" t="s">
        <v>220</v>
      </c>
      <c r="C145" s="63" t="s">
        <v>221</v>
      </c>
      <c r="D145" s="63" t="s">
        <v>222</v>
      </c>
      <c r="E145" s="63" t="s">
        <v>24</v>
      </c>
      <c r="F145" s="64">
        <v>6578.23822775079</v>
      </c>
    </row>
    <row r="146" s="55" customFormat="1" customHeight="1" spans="1:6">
      <c r="A146" s="62">
        <v>142</v>
      </c>
      <c r="B146" s="63" t="s">
        <v>223</v>
      </c>
      <c r="C146" s="63" t="s">
        <v>221</v>
      </c>
      <c r="D146" s="63" t="s">
        <v>224</v>
      </c>
      <c r="E146" s="63" t="s">
        <v>24</v>
      </c>
      <c r="F146" s="64">
        <v>3679.47366824698</v>
      </c>
    </row>
    <row r="147" s="55" customFormat="1" customHeight="1" spans="1:6">
      <c r="A147" s="62">
        <v>143</v>
      </c>
      <c r="B147" s="63" t="s">
        <v>225</v>
      </c>
      <c r="C147" s="63" t="s">
        <v>221</v>
      </c>
      <c r="D147" s="63" t="s">
        <v>226</v>
      </c>
      <c r="E147" s="63" t="s">
        <v>24</v>
      </c>
      <c r="F147" s="64">
        <v>5219.04795356876</v>
      </c>
    </row>
    <row r="148" s="55" customFormat="1" customHeight="1" spans="1:6">
      <c r="A148" s="62">
        <v>144</v>
      </c>
      <c r="B148" s="63" t="s">
        <v>227</v>
      </c>
      <c r="C148" s="63" t="s">
        <v>221</v>
      </c>
      <c r="D148" s="63" t="s">
        <v>226</v>
      </c>
      <c r="E148" s="63" t="s">
        <v>24</v>
      </c>
      <c r="F148" s="64">
        <v>9844.50705818434</v>
      </c>
    </row>
    <row r="149" s="55" customFormat="1" customHeight="1" spans="1:6">
      <c r="A149" s="62">
        <v>145</v>
      </c>
      <c r="B149" s="63" t="s">
        <v>228</v>
      </c>
      <c r="C149" s="63" t="s">
        <v>221</v>
      </c>
      <c r="D149" s="63" t="s">
        <v>226</v>
      </c>
      <c r="E149" s="63" t="s">
        <v>24</v>
      </c>
      <c r="F149" s="64">
        <v>9317.54265147669</v>
      </c>
    </row>
    <row r="150" s="55" customFormat="1" customHeight="1" spans="1:6">
      <c r="A150" s="62">
        <v>146</v>
      </c>
      <c r="B150" s="63" t="s">
        <v>229</v>
      </c>
      <c r="C150" s="63" t="s">
        <v>221</v>
      </c>
      <c r="D150" s="63" t="s">
        <v>226</v>
      </c>
      <c r="E150" s="63" t="s">
        <v>24</v>
      </c>
      <c r="F150" s="64">
        <v>11055.8383716983</v>
      </c>
    </row>
    <row r="151" s="55" customFormat="1" customHeight="1" spans="1:6">
      <c r="A151" s="62">
        <v>147</v>
      </c>
      <c r="B151" s="63" t="s">
        <v>230</v>
      </c>
      <c r="C151" s="63" t="s">
        <v>221</v>
      </c>
      <c r="D151" s="63" t="s">
        <v>231</v>
      </c>
      <c r="E151" s="63" t="s">
        <v>24</v>
      </c>
      <c r="F151" s="64">
        <v>7666.50666088605</v>
      </c>
    </row>
    <row r="152" s="55" customFormat="1" customHeight="1" spans="1:6">
      <c r="A152" s="62">
        <v>148</v>
      </c>
      <c r="B152" s="63" t="s">
        <v>232</v>
      </c>
      <c r="C152" s="63" t="s">
        <v>221</v>
      </c>
      <c r="D152" s="63" t="s">
        <v>233</v>
      </c>
      <c r="E152" s="63" t="s">
        <v>24</v>
      </c>
      <c r="F152" s="64">
        <v>2950.36948131407</v>
      </c>
    </row>
    <row r="153" s="55" customFormat="1" customHeight="1" spans="1:6">
      <c r="A153" s="62">
        <v>149</v>
      </c>
      <c r="B153" s="63" t="s">
        <v>234</v>
      </c>
      <c r="C153" s="63" t="s">
        <v>221</v>
      </c>
      <c r="D153" s="63" t="s">
        <v>235</v>
      </c>
      <c r="E153" s="63" t="s">
        <v>24</v>
      </c>
      <c r="F153" s="64">
        <v>10420.8790917192</v>
      </c>
    </row>
    <row r="154" s="55" customFormat="1" customHeight="1" spans="1:6">
      <c r="A154" s="62">
        <v>150</v>
      </c>
      <c r="B154" s="63" t="s">
        <v>236</v>
      </c>
      <c r="C154" s="63" t="s">
        <v>221</v>
      </c>
      <c r="D154" s="63" t="s">
        <v>237</v>
      </c>
      <c r="E154" s="63" t="s">
        <v>24</v>
      </c>
      <c r="F154" s="64">
        <v>3518.42818548918</v>
      </c>
    </row>
    <row r="155" s="55" customFormat="1" customHeight="1" spans="1:6">
      <c r="A155" s="62">
        <v>151</v>
      </c>
      <c r="B155" s="63" t="s">
        <v>238</v>
      </c>
      <c r="C155" s="63" t="s">
        <v>221</v>
      </c>
      <c r="D155" s="63" t="s">
        <v>239</v>
      </c>
      <c r="E155" s="63" t="s">
        <v>24</v>
      </c>
      <c r="F155" s="64">
        <v>5654.69320647609</v>
      </c>
    </row>
    <row r="156" s="55" customFormat="1" customHeight="1" spans="1:6">
      <c r="A156" s="62">
        <v>152</v>
      </c>
      <c r="B156" s="63" t="s">
        <v>240</v>
      </c>
      <c r="C156" s="63" t="s">
        <v>221</v>
      </c>
      <c r="D156" s="63" t="s">
        <v>231</v>
      </c>
      <c r="E156" s="63" t="s">
        <v>24</v>
      </c>
      <c r="F156" s="64">
        <v>2965.56301119805</v>
      </c>
    </row>
    <row r="157" s="55" customFormat="1" customHeight="1" spans="1:6">
      <c r="A157" s="62">
        <v>153</v>
      </c>
      <c r="B157" s="63" t="s">
        <v>241</v>
      </c>
      <c r="C157" s="63" t="s">
        <v>221</v>
      </c>
      <c r="D157" s="63" t="s">
        <v>242</v>
      </c>
      <c r="E157" s="63" t="s">
        <v>24</v>
      </c>
      <c r="F157" s="64">
        <v>22525.4428161469</v>
      </c>
    </row>
    <row r="158" s="55" customFormat="1" customHeight="1" spans="1:6">
      <c r="A158" s="62">
        <v>154</v>
      </c>
      <c r="B158" s="63" t="s">
        <v>243</v>
      </c>
      <c r="C158" s="63" t="s">
        <v>221</v>
      </c>
      <c r="D158" s="63" t="s">
        <v>231</v>
      </c>
      <c r="E158" s="63" t="s">
        <v>24</v>
      </c>
      <c r="F158" s="64">
        <v>6382.08157520475</v>
      </c>
    </row>
    <row r="159" s="55" customFormat="1" customHeight="1" spans="1:6">
      <c r="A159" s="62">
        <v>155</v>
      </c>
      <c r="B159" s="63" t="s">
        <v>244</v>
      </c>
      <c r="C159" s="63" t="s">
        <v>221</v>
      </c>
      <c r="D159" s="63" t="s">
        <v>231</v>
      </c>
      <c r="E159" s="63" t="s">
        <v>24</v>
      </c>
      <c r="F159" s="64">
        <v>4676.10115120539</v>
      </c>
    </row>
    <row r="160" s="2" customFormat="1" customHeight="1" spans="1:6">
      <c r="A160" s="62">
        <v>156</v>
      </c>
      <c r="B160" s="69" t="s">
        <v>245</v>
      </c>
      <c r="C160" s="69" t="s">
        <v>221</v>
      </c>
      <c r="D160" s="69" t="s">
        <v>231</v>
      </c>
      <c r="E160" s="69" t="s">
        <v>24</v>
      </c>
      <c r="F160" s="68">
        <v>6087.48045031501</v>
      </c>
    </row>
    <row r="161" s="2" customFormat="1" customHeight="1" spans="1:6">
      <c r="A161" s="62">
        <v>157</v>
      </c>
      <c r="B161" s="69" t="s">
        <v>246</v>
      </c>
      <c r="C161" s="69" t="s">
        <v>221</v>
      </c>
      <c r="D161" s="69" t="s">
        <v>222</v>
      </c>
      <c r="E161" s="69" t="s">
        <v>24</v>
      </c>
      <c r="F161" s="68">
        <v>5457.59799828789</v>
      </c>
    </row>
    <row r="162" s="3" customFormat="1" customHeight="1" spans="1:6">
      <c r="A162" s="62">
        <v>158</v>
      </c>
      <c r="B162" s="65" t="s">
        <v>247</v>
      </c>
      <c r="C162" s="66" t="s">
        <v>221</v>
      </c>
      <c r="D162" s="66" t="s">
        <v>235</v>
      </c>
      <c r="E162" s="66" t="s">
        <v>24</v>
      </c>
      <c r="F162" s="67">
        <v>3506.89835194449</v>
      </c>
    </row>
    <row r="163" s="55" customFormat="1" customHeight="1" spans="1:6">
      <c r="A163" s="62">
        <v>159</v>
      </c>
      <c r="B163" s="63" t="s">
        <v>248</v>
      </c>
      <c r="C163" s="63" t="s">
        <v>221</v>
      </c>
      <c r="D163" s="63" t="s">
        <v>231</v>
      </c>
      <c r="E163" s="63" t="s">
        <v>24</v>
      </c>
      <c r="F163" s="64">
        <v>5849.1303200642</v>
      </c>
    </row>
    <row r="164" s="3" customFormat="1" customHeight="1" spans="1:6">
      <c r="A164" s="62">
        <v>160</v>
      </c>
      <c r="B164" s="66" t="s">
        <v>249</v>
      </c>
      <c r="C164" s="66" t="s">
        <v>221</v>
      </c>
      <c r="D164" s="66" t="s">
        <v>222</v>
      </c>
      <c r="E164" s="66" t="s">
        <v>24</v>
      </c>
      <c r="F164" s="67">
        <v>2850.55293937297</v>
      </c>
    </row>
    <row r="165" s="3" customFormat="1" customHeight="1" spans="1:6">
      <c r="A165" s="62">
        <v>161</v>
      </c>
      <c r="B165" s="65" t="s">
        <v>250</v>
      </c>
      <c r="C165" s="66" t="s">
        <v>221</v>
      </c>
      <c r="D165" s="66" t="s">
        <v>233</v>
      </c>
      <c r="E165" s="66" t="s">
        <v>159</v>
      </c>
      <c r="F165" s="67">
        <v>3619.73725452606</v>
      </c>
    </row>
    <row r="166" s="55" customFormat="1" customHeight="1" spans="1:6">
      <c r="A166" s="62">
        <v>162</v>
      </c>
      <c r="B166" s="63" t="s">
        <v>251</v>
      </c>
      <c r="C166" s="63" t="s">
        <v>221</v>
      </c>
      <c r="D166" s="63" t="s">
        <v>237</v>
      </c>
      <c r="E166" s="63" t="s">
        <v>24</v>
      </c>
      <c r="F166" s="64">
        <v>5310.43112329297</v>
      </c>
    </row>
    <row r="167" s="3" customFormat="1" customHeight="1" spans="1:6">
      <c r="A167" s="62">
        <v>163</v>
      </c>
      <c r="B167" s="65" t="s">
        <v>252</v>
      </c>
      <c r="C167" s="66" t="s">
        <v>221</v>
      </c>
      <c r="D167" s="66" t="s">
        <v>253</v>
      </c>
      <c r="E167" s="66" t="s">
        <v>159</v>
      </c>
      <c r="F167" s="67">
        <v>2460.44904569502</v>
      </c>
    </row>
    <row r="168" s="3" customFormat="1" ht="12" spans="1:6">
      <c r="A168" s="62">
        <v>164</v>
      </c>
      <c r="B168" s="65" t="s">
        <v>254</v>
      </c>
      <c r="C168" s="66" t="s">
        <v>221</v>
      </c>
      <c r="D168" s="66" t="s">
        <v>226</v>
      </c>
      <c r="E168" s="66" t="s">
        <v>24</v>
      </c>
      <c r="F168" s="67">
        <v>3666.2886094474</v>
      </c>
    </row>
    <row r="169" s="55" customFormat="1" customHeight="1" spans="1:6">
      <c r="A169" s="62">
        <v>165</v>
      </c>
      <c r="B169" s="63" t="s">
        <v>255</v>
      </c>
      <c r="C169" s="63" t="s">
        <v>221</v>
      </c>
      <c r="D169" s="63" t="s">
        <v>233</v>
      </c>
      <c r="E169" s="63" t="s">
        <v>24</v>
      </c>
      <c r="F169" s="64">
        <v>2634.17322339453</v>
      </c>
    </row>
    <row r="170" s="55" customFormat="1" customHeight="1" spans="1:6">
      <c r="A170" s="62">
        <v>166</v>
      </c>
      <c r="B170" s="63" t="s">
        <v>256</v>
      </c>
      <c r="C170" s="63" t="s">
        <v>221</v>
      </c>
      <c r="D170" s="63" t="s">
        <v>231</v>
      </c>
      <c r="E170" s="63" t="s">
        <v>24</v>
      </c>
      <c r="F170" s="64">
        <v>4114.21685935644</v>
      </c>
    </row>
    <row r="171" s="55" customFormat="1" customHeight="1" spans="1:6">
      <c r="A171" s="62">
        <v>167</v>
      </c>
      <c r="B171" s="63" t="s">
        <v>257</v>
      </c>
      <c r="C171" s="63" t="s">
        <v>258</v>
      </c>
      <c r="D171" s="63" t="s">
        <v>259</v>
      </c>
      <c r="E171" s="63" t="s">
        <v>24</v>
      </c>
      <c r="F171" s="64">
        <v>6949.61833682482</v>
      </c>
    </row>
    <row r="172" s="55" customFormat="1" customHeight="1" spans="1:6">
      <c r="A172" s="62">
        <v>168</v>
      </c>
      <c r="B172" s="70" t="s">
        <v>260</v>
      </c>
      <c r="C172" s="70" t="s">
        <v>258</v>
      </c>
      <c r="D172" s="70" t="s">
        <v>259</v>
      </c>
      <c r="E172" s="70" t="s">
        <v>159</v>
      </c>
      <c r="F172" s="64">
        <v>7853.7642846142</v>
      </c>
    </row>
    <row r="173" s="55" customFormat="1" customHeight="1" spans="1:6">
      <c r="A173" s="62">
        <v>169</v>
      </c>
      <c r="B173" s="63" t="s">
        <v>261</v>
      </c>
      <c r="C173" s="63" t="s">
        <v>258</v>
      </c>
      <c r="D173" s="63" t="s">
        <v>262</v>
      </c>
      <c r="E173" s="63" t="s">
        <v>24</v>
      </c>
      <c r="F173" s="64">
        <v>7628.43563059347</v>
      </c>
    </row>
    <row r="174" s="55" customFormat="1" customHeight="1" spans="1:6">
      <c r="A174" s="62">
        <v>170</v>
      </c>
      <c r="B174" s="63" t="s">
        <v>263</v>
      </c>
      <c r="C174" s="63" t="s">
        <v>258</v>
      </c>
      <c r="D174" s="63" t="s">
        <v>264</v>
      </c>
      <c r="E174" s="63" t="s">
        <v>24</v>
      </c>
      <c r="F174" s="64">
        <v>6327.37894355931</v>
      </c>
    </row>
    <row r="175" s="55" customFormat="1" customHeight="1" spans="1:6">
      <c r="A175" s="62">
        <v>171</v>
      </c>
      <c r="B175" s="63" t="s">
        <v>265</v>
      </c>
      <c r="C175" s="63" t="s">
        <v>258</v>
      </c>
      <c r="D175" s="63" t="s">
        <v>266</v>
      </c>
      <c r="E175" s="63" t="s">
        <v>24</v>
      </c>
      <c r="F175" s="64">
        <v>7723.69298588768</v>
      </c>
    </row>
    <row r="176" s="55" customFormat="1" customHeight="1" spans="1:6">
      <c r="A176" s="62">
        <v>172</v>
      </c>
      <c r="B176" s="63" t="s">
        <v>267</v>
      </c>
      <c r="C176" s="63" t="s">
        <v>258</v>
      </c>
      <c r="D176" s="63" t="s">
        <v>262</v>
      </c>
      <c r="E176" s="63" t="s">
        <v>24</v>
      </c>
      <c r="F176" s="64">
        <v>7296.69960658913</v>
      </c>
    </row>
    <row r="177" s="55" customFormat="1" customHeight="1" spans="1:6">
      <c r="A177" s="62">
        <v>173</v>
      </c>
      <c r="B177" s="63" t="s">
        <v>268</v>
      </c>
      <c r="C177" s="63" t="s">
        <v>269</v>
      </c>
      <c r="D177" s="63" t="s">
        <v>270</v>
      </c>
      <c r="E177" s="63" t="s">
        <v>24</v>
      </c>
      <c r="F177" s="64">
        <v>6195.76909401332</v>
      </c>
    </row>
    <row r="178" s="55" customFormat="1" customHeight="1" spans="1:6">
      <c r="A178" s="62">
        <v>174</v>
      </c>
      <c r="B178" s="63" t="s">
        <v>271</v>
      </c>
      <c r="C178" s="63" t="s">
        <v>269</v>
      </c>
      <c r="D178" s="63" t="s">
        <v>272</v>
      </c>
      <c r="E178" s="63" t="s">
        <v>24</v>
      </c>
      <c r="F178" s="64">
        <v>4909.24512760077</v>
      </c>
    </row>
    <row r="179" s="55" customFormat="1" customHeight="1" spans="1:6">
      <c r="A179" s="62">
        <v>175</v>
      </c>
      <c r="B179" s="63" t="s">
        <v>273</v>
      </c>
      <c r="C179" s="63" t="s">
        <v>269</v>
      </c>
      <c r="D179" s="63" t="s">
        <v>274</v>
      </c>
      <c r="E179" s="63" t="s">
        <v>24</v>
      </c>
      <c r="F179" s="64">
        <v>14283.2218160449</v>
      </c>
    </row>
    <row r="180" s="55" customFormat="1" customHeight="1" spans="1:6">
      <c r="A180" s="62">
        <v>176</v>
      </c>
      <c r="B180" s="63" t="s">
        <v>275</v>
      </c>
      <c r="C180" s="63" t="s">
        <v>269</v>
      </c>
      <c r="D180" s="63" t="s">
        <v>276</v>
      </c>
      <c r="E180" s="63" t="s">
        <v>24</v>
      </c>
      <c r="F180" s="64">
        <v>4720.75430042571</v>
      </c>
    </row>
    <row r="181" s="3" customFormat="1" customHeight="1" spans="1:6">
      <c r="A181" s="62">
        <v>177</v>
      </c>
      <c r="B181" s="65" t="s">
        <v>277</v>
      </c>
      <c r="C181" s="66" t="s">
        <v>269</v>
      </c>
      <c r="D181" s="66" t="s">
        <v>272</v>
      </c>
      <c r="E181" s="66" t="s">
        <v>24</v>
      </c>
      <c r="F181" s="67">
        <v>3252.59993544954</v>
      </c>
    </row>
    <row r="182" s="55" customFormat="1" customHeight="1" spans="1:6">
      <c r="A182" s="62">
        <v>178</v>
      </c>
      <c r="B182" s="63" t="s">
        <v>278</v>
      </c>
      <c r="C182" s="63" t="s">
        <v>269</v>
      </c>
      <c r="D182" s="63" t="s">
        <v>272</v>
      </c>
      <c r="E182" s="63" t="s">
        <v>159</v>
      </c>
      <c r="F182" s="64">
        <v>5677.57090637291</v>
      </c>
    </row>
    <row r="183" s="55" customFormat="1" customHeight="1" spans="1:6">
      <c r="A183" s="62">
        <v>179</v>
      </c>
      <c r="B183" s="63" t="s">
        <v>279</v>
      </c>
      <c r="C183" s="63" t="s">
        <v>280</v>
      </c>
      <c r="D183" s="63" t="s">
        <v>281</v>
      </c>
      <c r="E183" s="63" t="s">
        <v>24</v>
      </c>
      <c r="F183" s="64">
        <v>5397.37759237814</v>
      </c>
    </row>
    <row r="184" s="55" customFormat="1" customHeight="1" spans="1:6">
      <c r="A184" s="62">
        <v>180</v>
      </c>
      <c r="B184" s="63" t="s">
        <v>282</v>
      </c>
      <c r="C184" s="63" t="s">
        <v>280</v>
      </c>
      <c r="D184" s="63" t="s">
        <v>283</v>
      </c>
      <c r="E184" s="63" t="s">
        <v>24</v>
      </c>
      <c r="F184" s="64">
        <v>7432.02366511714</v>
      </c>
    </row>
    <row r="185" s="55" customFormat="1" customHeight="1" spans="1:6">
      <c r="A185" s="62">
        <v>181</v>
      </c>
      <c r="B185" s="63" t="s">
        <v>284</v>
      </c>
      <c r="C185" s="63" t="s">
        <v>285</v>
      </c>
      <c r="D185" s="63" t="s">
        <v>286</v>
      </c>
      <c r="E185" s="63" t="s">
        <v>24</v>
      </c>
      <c r="F185" s="64">
        <v>8086.57514100344</v>
      </c>
    </row>
    <row r="186" s="55" customFormat="1" customHeight="1" spans="1:6">
      <c r="A186" s="62">
        <v>182</v>
      </c>
      <c r="B186" s="63" t="s">
        <v>287</v>
      </c>
      <c r="C186" s="63" t="s">
        <v>285</v>
      </c>
      <c r="D186" s="63" t="s">
        <v>286</v>
      </c>
      <c r="E186" s="63" t="s">
        <v>24</v>
      </c>
      <c r="F186" s="64">
        <v>12228.3025288965</v>
      </c>
    </row>
    <row r="187" s="55" customFormat="1" customHeight="1" spans="1:6">
      <c r="A187" s="62">
        <v>183</v>
      </c>
      <c r="B187" s="70" t="s">
        <v>288</v>
      </c>
      <c r="C187" s="70" t="s">
        <v>285</v>
      </c>
      <c r="D187" s="70" t="s">
        <v>289</v>
      </c>
      <c r="E187" s="70" t="s">
        <v>159</v>
      </c>
      <c r="F187" s="64">
        <v>10819.3696825284</v>
      </c>
    </row>
    <row r="188" s="55" customFormat="1" customHeight="1" spans="1:6">
      <c r="A188" s="62">
        <v>184</v>
      </c>
      <c r="B188" s="63" t="s">
        <v>290</v>
      </c>
      <c r="C188" s="63" t="s">
        <v>291</v>
      </c>
      <c r="D188" s="63" t="s">
        <v>292</v>
      </c>
      <c r="E188" s="63" t="s">
        <v>24</v>
      </c>
      <c r="F188" s="64">
        <v>13416.0925253933</v>
      </c>
    </row>
    <row r="189" s="3" customFormat="1" customHeight="1" spans="1:6">
      <c r="A189" s="62">
        <v>185</v>
      </c>
      <c r="B189" s="65" t="s">
        <v>293</v>
      </c>
      <c r="C189" s="66" t="s">
        <v>294</v>
      </c>
      <c r="D189" s="66" t="s">
        <v>295</v>
      </c>
      <c r="E189" s="66" t="s">
        <v>24</v>
      </c>
      <c r="F189" s="67">
        <v>3429.93400696417</v>
      </c>
    </row>
    <row r="190" s="55" customFormat="1" customHeight="1" spans="1:6">
      <c r="A190" s="62">
        <v>186</v>
      </c>
      <c r="B190" s="63" t="s">
        <v>296</v>
      </c>
      <c r="C190" s="63" t="s">
        <v>294</v>
      </c>
      <c r="D190" s="63" t="s">
        <v>297</v>
      </c>
      <c r="E190" s="63" t="s">
        <v>24</v>
      </c>
      <c r="F190" s="64">
        <v>5393.37987123279</v>
      </c>
    </row>
    <row r="191" s="55" customFormat="1" customHeight="1" spans="1:6">
      <c r="A191" s="62">
        <v>187</v>
      </c>
      <c r="B191" s="63" t="s">
        <v>298</v>
      </c>
      <c r="C191" s="63" t="s">
        <v>294</v>
      </c>
      <c r="D191" s="63" t="s">
        <v>299</v>
      </c>
      <c r="E191" s="63" t="s">
        <v>159</v>
      </c>
      <c r="F191" s="64">
        <v>3341.68638737397</v>
      </c>
    </row>
    <row r="192" s="55" customFormat="1" customHeight="1" spans="1:6">
      <c r="A192" s="62">
        <v>188</v>
      </c>
      <c r="B192" s="63" t="s">
        <v>300</v>
      </c>
      <c r="C192" s="63" t="s">
        <v>294</v>
      </c>
      <c r="D192" s="63" t="s">
        <v>297</v>
      </c>
      <c r="E192" s="63" t="s">
        <v>24</v>
      </c>
      <c r="F192" s="64">
        <v>5334.19436613837</v>
      </c>
    </row>
    <row r="193" s="55" customFormat="1" customHeight="1" spans="1:6">
      <c r="A193" s="62">
        <v>189</v>
      </c>
      <c r="B193" s="63" t="s">
        <v>301</v>
      </c>
      <c r="C193" s="63" t="s">
        <v>302</v>
      </c>
      <c r="D193" s="63" t="s">
        <v>303</v>
      </c>
      <c r="E193" s="63" t="s">
        <v>24</v>
      </c>
      <c r="F193" s="64">
        <v>13006.7280847994</v>
      </c>
    </row>
    <row r="194" s="55" customFormat="1" customHeight="1" spans="1:6">
      <c r="A194" s="62">
        <v>190</v>
      </c>
      <c r="B194" s="63" t="s">
        <v>304</v>
      </c>
      <c r="C194" s="63" t="s">
        <v>305</v>
      </c>
      <c r="D194" s="63" t="s">
        <v>306</v>
      </c>
      <c r="E194" s="63" t="s">
        <v>24</v>
      </c>
      <c r="F194" s="64">
        <v>6934.95076846367</v>
      </c>
    </row>
    <row r="195" s="55" customFormat="1" customHeight="1" spans="1:6">
      <c r="A195" s="62">
        <v>191</v>
      </c>
      <c r="B195" s="63" t="s">
        <v>307</v>
      </c>
      <c r="C195" s="63" t="s">
        <v>305</v>
      </c>
      <c r="D195" s="63" t="s">
        <v>308</v>
      </c>
      <c r="E195" s="63" t="s">
        <v>24</v>
      </c>
      <c r="F195" s="64">
        <v>2929.78179555615</v>
      </c>
    </row>
    <row r="196" s="55" customFormat="1" customHeight="1" spans="1:6">
      <c r="A196" s="62">
        <v>192</v>
      </c>
      <c r="B196" s="63" t="s">
        <v>309</v>
      </c>
      <c r="C196" s="63" t="s">
        <v>305</v>
      </c>
      <c r="D196" s="63" t="s">
        <v>308</v>
      </c>
      <c r="E196" s="63" t="s">
        <v>24</v>
      </c>
      <c r="F196" s="64">
        <v>2952.22445350633</v>
      </c>
    </row>
    <row r="197" s="55" customFormat="1" customHeight="1" spans="1:6">
      <c r="A197" s="62">
        <v>193</v>
      </c>
      <c r="B197" s="63" t="s">
        <v>310</v>
      </c>
      <c r="C197" s="63" t="s">
        <v>305</v>
      </c>
      <c r="D197" s="63" t="s">
        <v>311</v>
      </c>
      <c r="E197" s="63" t="s">
        <v>24</v>
      </c>
      <c r="F197" s="64">
        <v>2809.97942724851</v>
      </c>
    </row>
    <row r="198" s="55" customFormat="1" customHeight="1" spans="1:6">
      <c r="A198" s="62">
        <v>194</v>
      </c>
      <c r="B198" s="63" t="s">
        <v>312</v>
      </c>
      <c r="C198" s="63" t="s">
        <v>305</v>
      </c>
      <c r="D198" s="63" t="s">
        <v>306</v>
      </c>
      <c r="E198" s="63" t="s">
        <v>24</v>
      </c>
      <c r="F198" s="64">
        <v>3334.85580161048</v>
      </c>
    </row>
    <row r="199" s="55" customFormat="1" customHeight="1" spans="1:6">
      <c r="A199" s="62">
        <v>195</v>
      </c>
      <c r="B199" s="63" t="s">
        <v>313</v>
      </c>
      <c r="C199" s="63" t="s">
        <v>305</v>
      </c>
      <c r="D199" s="63" t="s">
        <v>314</v>
      </c>
      <c r="E199" s="63" t="s">
        <v>24</v>
      </c>
      <c r="F199" s="64">
        <v>8966.0343446857</v>
      </c>
    </row>
    <row r="200" s="55" customFormat="1" customHeight="1" spans="1:6">
      <c r="A200" s="62">
        <v>196</v>
      </c>
      <c r="B200" s="63" t="s">
        <v>315</v>
      </c>
      <c r="C200" s="63" t="s">
        <v>305</v>
      </c>
      <c r="D200" s="63" t="s">
        <v>316</v>
      </c>
      <c r="E200" s="63" t="s">
        <v>24</v>
      </c>
      <c r="F200" s="64">
        <v>7435.17544495201</v>
      </c>
    </row>
    <row r="201" s="55" customFormat="1" customHeight="1" spans="1:6">
      <c r="A201" s="62">
        <v>197</v>
      </c>
      <c r="B201" s="63" t="s">
        <v>317</v>
      </c>
      <c r="C201" s="63" t="s">
        <v>305</v>
      </c>
      <c r="D201" s="63" t="s">
        <v>314</v>
      </c>
      <c r="E201" s="63" t="s">
        <v>24</v>
      </c>
      <c r="F201" s="64">
        <v>3860.07131499861</v>
      </c>
    </row>
    <row r="202" s="55" customFormat="1" customHeight="1" spans="1:6">
      <c r="A202" s="62">
        <v>198</v>
      </c>
      <c r="B202" s="63" t="s">
        <v>318</v>
      </c>
      <c r="C202" s="63" t="s">
        <v>305</v>
      </c>
      <c r="D202" s="63" t="s">
        <v>308</v>
      </c>
      <c r="E202" s="63" t="s">
        <v>24</v>
      </c>
      <c r="F202" s="64">
        <v>6269.53136633981</v>
      </c>
    </row>
    <row r="203" s="55" customFormat="1" customHeight="1" spans="1:6">
      <c r="A203" s="62">
        <v>199</v>
      </c>
      <c r="B203" s="63" t="s">
        <v>319</v>
      </c>
      <c r="C203" s="63" t="s">
        <v>305</v>
      </c>
      <c r="D203" s="63" t="s">
        <v>320</v>
      </c>
      <c r="E203" s="63" t="s">
        <v>24</v>
      </c>
      <c r="F203" s="64">
        <v>3735.94931861564</v>
      </c>
    </row>
    <row r="204" s="55" customFormat="1" customHeight="1" spans="1:6">
      <c r="A204" s="62">
        <v>200</v>
      </c>
      <c r="B204" s="63" t="s">
        <v>321</v>
      </c>
      <c r="C204" s="63" t="s">
        <v>305</v>
      </c>
      <c r="D204" s="63" t="s">
        <v>306</v>
      </c>
      <c r="E204" s="63" t="s">
        <v>24</v>
      </c>
      <c r="F204" s="64">
        <v>4349.75019153251</v>
      </c>
    </row>
    <row r="205" s="55" customFormat="1" customHeight="1" spans="1:6">
      <c r="A205" s="62">
        <v>201</v>
      </c>
      <c r="B205" s="63" t="s">
        <v>322</v>
      </c>
      <c r="C205" s="63" t="s">
        <v>305</v>
      </c>
      <c r="D205" s="63" t="s">
        <v>323</v>
      </c>
      <c r="E205" s="63" t="s">
        <v>24</v>
      </c>
      <c r="F205" s="64">
        <v>6178.68063258439</v>
      </c>
    </row>
    <row r="206" s="55" customFormat="1" customHeight="1" spans="1:6">
      <c r="A206" s="62">
        <v>202</v>
      </c>
      <c r="B206" s="63" t="s">
        <v>324</v>
      </c>
      <c r="C206" s="63" t="s">
        <v>305</v>
      </c>
      <c r="D206" s="63" t="s">
        <v>308</v>
      </c>
      <c r="E206" s="63" t="s">
        <v>24</v>
      </c>
      <c r="F206" s="64">
        <v>3721.04998475982</v>
      </c>
    </row>
    <row r="207" s="55" customFormat="1" customHeight="1" spans="1:6">
      <c r="A207" s="62">
        <v>203</v>
      </c>
      <c r="B207" s="63" t="s">
        <v>325</v>
      </c>
      <c r="C207" s="63" t="s">
        <v>305</v>
      </c>
      <c r="D207" s="63" t="s">
        <v>306</v>
      </c>
      <c r="E207" s="63" t="s">
        <v>24</v>
      </c>
      <c r="F207" s="64">
        <v>7258.46626173889</v>
      </c>
    </row>
    <row r="208" s="55" customFormat="1" customHeight="1" spans="1:6">
      <c r="A208" s="62">
        <v>204</v>
      </c>
      <c r="B208" s="63" t="s">
        <v>326</v>
      </c>
      <c r="C208" s="63" t="s">
        <v>327</v>
      </c>
      <c r="D208" s="63" t="s">
        <v>328</v>
      </c>
      <c r="E208" s="63" t="s">
        <v>24</v>
      </c>
      <c r="F208" s="64">
        <v>4315.73725606945</v>
      </c>
    </row>
    <row r="209" s="55" customFormat="1" customHeight="1" spans="1:6">
      <c r="A209" s="62">
        <v>205</v>
      </c>
      <c r="B209" s="63" t="s">
        <v>329</v>
      </c>
      <c r="C209" s="63" t="s">
        <v>327</v>
      </c>
      <c r="D209" s="63" t="s">
        <v>330</v>
      </c>
      <c r="E209" s="63" t="s">
        <v>24</v>
      </c>
      <c r="F209" s="64">
        <v>3105.0582822491</v>
      </c>
    </row>
    <row r="210" s="55" customFormat="1" customHeight="1" spans="1:6">
      <c r="A210" s="62">
        <v>206</v>
      </c>
      <c r="B210" s="63" t="s">
        <v>331</v>
      </c>
      <c r="C210" s="63" t="s">
        <v>327</v>
      </c>
      <c r="D210" s="63" t="s">
        <v>332</v>
      </c>
      <c r="E210" s="63" t="s">
        <v>24</v>
      </c>
      <c r="F210" s="64">
        <v>8468.65696583138</v>
      </c>
    </row>
    <row r="211" s="55" customFormat="1" customHeight="1" spans="1:6">
      <c r="A211" s="62">
        <v>207</v>
      </c>
      <c r="B211" s="63" t="s">
        <v>333</v>
      </c>
      <c r="C211" s="63" t="s">
        <v>327</v>
      </c>
      <c r="D211" s="63" t="s">
        <v>328</v>
      </c>
      <c r="E211" s="63" t="s">
        <v>24</v>
      </c>
      <c r="F211" s="64">
        <v>6553.47841574333</v>
      </c>
    </row>
    <row r="212" s="55" customFormat="1" customHeight="1" spans="1:6">
      <c r="A212" s="62">
        <v>208</v>
      </c>
      <c r="B212" s="63" t="s">
        <v>334</v>
      </c>
      <c r="C212" s="63" t="s">
        <v>327</v>
      </c>
      <c r="D212" s="63" t="s">
        <v>335</v>
      </c>
      <c r="E212" s="63" t="s">
        <v>24</v>
      </c>
      <c r="F212" s="64">
        <v>4789.13492809081</v>
      </c>
    </row>
    <row r="213" s="55" customFormat="1" customHeight="1" spans="1:6">
      <c r="A213" s="62">
        <v>209</v>
      </c>
      <c r="B213" s="63" t="s">
        <v>336</v>
      </c>
      <c r="C213" s="63" t="s">
        <v>327</v>
      </c>
      <c r="D213" s="63" t="s">
        <v>335</v>
      </c>
      <c r="E213" s="63" t="s">
        <v>24</v>
      </c>
      <c r="F213" s="64">
        <v>3587.67033161925</v>
      </c>
    </row>
    <row r="214" s="3" customFormat="1" customHeight="1" spans="1:6">
      <c r="A214" s="62">
        <v>210</v>
      </c>
      <c r="B214" s="65" t="s">
        <v>337</v>
      </c>
      <c r="C214" s="66" t="s">
        <v>327</v>
      </c>
      <c r="D214" s="66" t="s">
        <v>338</v>
      </c>
      <c r="E214" s="66" t="s">
        <v>24</v>
      </c>
      <c r="F214" s="67">
        <v>2333.00219420284</v>
      </c>
    </row>
    <row r="215" s="55" customFormat="1" customHeight="1" spans="1:6">
      <c r="A215" s="62">
        <v>211</v>
      </c>
      <c r="B215" s="63" t="s">
        <v>339</v>
      </c>
      <c r="C215" s="63" t="s">
        <v>327</v>
      </c>
      <c r="D215" s="63" t="s">
        <v>340</v>
      </c>
      <c r="E215" s="63" t="s">
        <v>24</v>
      </c>
      <c r="F215" s="64">
        <v>7127.35143415749</v>
      </c>
    </row>
    <row r="216" s="55" customFormat="1" customHeight="1" spans="1:6">
      <c r="A216" s="62">
        <v>212</v>
      </c>
      <c r="B216" s="63" t="s">
        <v>341</v>
      </c>
      <c r="C216" s="63" t="s">
        <v>327</v>
      </c>
      <c r="D216" s="63" t="s">
        <v>342</v>
      </c>
      <c r="E216" s="63" t="s">
        <v>24</v>
      </c>
      <c r="F216" s="64">
        <v>4643.40173279901</v>
      </c>
    </row>
    <row r="217" s="55" customFormat="1" customHeight="1" spans="1:6">
      <c r="A217" s="62">
        <v>213</v>
      </c>
      <c r="B217" s="70" t="s">
        <v>343</v>
      </c>
      <c r="C217" s="70" t="s">
        <v>327</v>
      </c>
      <c r="D217" s="70" t="s">
        <v>344</v>
      </c>
      <c r="E217" s="70" t="s">
        <v>159</v>
      </c>
      <c r="F217" s="64">
        <v>8872.4557390777</v>
      </c>
    </row>
    <row r="218" s="55" customFormat="1" customHeight="1" spans="1:6">
      <c r="A218" s="62">
        <v>214</v>
      </c>
      <c r="B218" s="63" t="s">
        <v>345</v>
      </c>
      <c r="C218" s="63" t="s">
        <v>346</v>
      </c>
      <c r="D218" s="63" t="s">
        <v>347</v>
      </c>
      <c r="E218" s="63" t="s">
        <v>24</v>
      </c>
      <c r="F218" s="64">
        <v>4494.03211752688</v>
      </c>
    </row>
    <row r="219" s="55" customFormat="1" customHeight="1" spans="1:6">
      <c r="A219" s="62">
        <v>215</v>
      </c>
      <c r="B219" s="63" t="s">
        <v>348</v>
      </c>
      <c r="C219" s="63" t="s">
        <v>346</v>
      </c>
      <c r="D219" s="63" t="s">
        <v>349</v>
      </c>
      <c r="E219" s="63" t="s">
        <v>24</v>
      </c>
      <c r="F219" s="64">
        <v>8973.94523443165</v>
      </c>
    </row>
    <row r="220" s="4" customFormat="1" customHeight="1" spans="1:6">
      <c r="A220" s="62">
        <v>216</v>
      </c>
      <c r="B220" s="69" t="s">
        <v>350</v>
      </c>
      <c r="C220" s="69" t="s">
        <v>22</v>
      </c>
      <c r="D220" s="69" t="s">
        <v>26</v>
      </c>
      <c r="E220" s="69" t="s">
        <v>24</v>
      </c>
      <c r="F220" s="68">
        <v>17685.5813452555</v>
      </c>
    </row>
    <row r="221" s="4" customFormat="1" customHeight="1" spans="1:6">
      <c r="A221" s="62">
        <v>217</v>
      </c>
      <c r="B221" s="69" t="s">
        <v>351</v>
      </c>
      <c r="C221" s="69" t="s">
        <v>22</v>
      </c>
      <c r="D221" s="69" t="s">
        <v>26</v>
      </c>
      <c r="E221" s="69" t="s">
        <v>24</v>
      </c>
      <c r="F221" s="68">
        <v>12615.9336544997</v>
      </c>
    </row>
    <row r="222" s="4" customFormat="1" customHeight="1" spans="1:6">
      <c r="A222" s="62">
        <v>218</v>
      </c>
      <c r="B222" s="69" t="s">
        <v>352</v>
      </c>
      <c r="C222" s="69" t="s">
        <v>22</v>
      </c>
      <c r="D222" s="69" t="s">
        <v>353</v>
      </c>
      <c r="E222" s="69" t="s">
        <v>24</v>
      </c>
      <c r="F222" s="68">
        <v>10901.8384104469</v>
      </c>
    </row>
    <row r="223" s="4" customFormat="1" customHeight="1" spans="1:6">
      <c r="A223" s="62">
        <v>219</v>
      </c>
      <c r="B223" s="69" t="s">
        <v>354</v>
      </c>
      <c r="C223" s="69" t="s">
        <v>22</v>
      </c>
      <c r="D223" s="69" t="s">
        <v>355</v>
      </c>
      <c r="E223" s="69" t="s">
        <v>24</v>
      </c>
      <c r="F223" s="68">
        <v>14126.6196369712</v>
      </c>
    </row>
    <row r="224" s="5" customFormat="1" customHeight="1" spans="1:6">
      <c r="A224" s="62">
        <v>220</v>
      </c>
      <c r="B224" s="69" t="s">
        <v>356</v>
      </c>
      <c r="C224" s="69" t="s">
        <v>22</v>
      </c>
      <c r="D224" s="69" t="s">
        <v>36</v>
      </c>
      <c r="E224" s="69" t="s">
        <v>24</v>
      </c>
      <c r="F224" s="68">
        <v>5136.82958251901</v>
      </c>
    </row>
    <row r="225" s="5" customFormat="1" customHeight="1" spans="1:6">
      <c r="A225" s="62">
        <v>221</v>
      </c>
      <c r="B225" s="69" t="s">
        <v>357</v>
      </c>
      <c r="C225" s="69" t="s">
        <v>72</v>
      </c>
      <c r="D225" s="69" t="s">
        <v>80</v>
      </c>
      <c r="E225" s="69" t="s">
        <v>24</v>
      </c>
      <c r="F225" s="68">
        <v>7576.80800720994</v>
      </c>
    </row>
    <row r="226" s="5" customFormat="1" customHeight="1" spans="1:6">
      <c r="A226" s="62">
        <v>222</v>
      </c>
      <c r="B226" s="69" t="s">
        <v>358</v>
      </c>
      <c r="C226" s="69" t="s">
        <v>72</v>
      </c>
      <c r="D226" s="69" t="s">
        <v>85</v>
      </c>
      <c r="E226" s="69" t="s">
        <v>24</v>
      </c>
      <c r="F226" s="68">
        <v>19927.2385642508</v>
      </c>
    </row>
    <row r="227" s="5" customFormat="1" customHeight="1" spans="1:6">
      <c r="A227" s="62">
        <v>223</v>
      </c>
      <c r="B227" s="66" t="s">
        <v>359</v>
      </c>
      <c r="C227" s="66" t="s">
        <v>72</v>
      </c>
      <c r="D227" s="66" t="s">
        <v>104</v>
      </c>
      <c r="E227" s="66" t="s">
        <v>24</v>
      </c>
      <c r="F227" s="67">
        <v>6668.58473256822</v>
      </c>
    </row>
    <row r="228" s="5" customFormat="1" customHeight="1" spans="1:6">
      <c r="A228" s="62">
        <v>224</v>
      </c>
      <c r="B228" s="69" t="s">
        <v>360</v>
      </c>
      <c r="C228" s="69" t="s">
        <v>128</v>
      </c>
      <c r="D228" s="69" t="s">
        <v>129</v>
      </c>
      <c r="E228" s="69" t="s">
        <v>24</v>
      </c>
      <c r="F228" s="68">
        <v>5606.47611401318</v>
      </c>
    </row>
    <row r="229" s="5" customFormat="1" customHeight="1" spans="1:6">
      <c r="A229" s="62">
        <v>225</v>
      </c>
      <c r="B229" s="69" t="s">
        <v>361</v>
      </c>
      <c r="C229" s="69" t="s">
        <v>128</v>
      </c>
      <c r="D229" s="69" t="s">
        <v>129</v>
      </c>
      <c r="E229" s="69" t="s">
        <v>24</v>
      </c>
      <c r="F229" s="68">
        <v>7384.4190111559</v>
      </c>
    </row>
    <row r="230" s="5" customFormat="1" customHeight="1" spans="1:6">
      <c r="A230" s="62">
        <v>226</v>
      </c>
      <c r="B230" s="69" t="s">
        <v>362</v>
      </c>
      <c r="C230" s="69" t="s">
        <v>128</v>
      </c>
      <c r="D230" s="69" t="s">
        <v>139</v>
      </c>
      <c r="E230" s="69" t="s">
        <v>24</v>
      </c>
      <c r="F230" s="68">
        <v>5916.48716698594</v>
      </c>
    </row>
    <row r="231" s="5" customFormat="1" customHeight="1" spans="1:6">
      <c r="A231" s="62">
        <v>227</v>
      </c>
      <c r="B231" s="69" t="s">
        <v>363</v>
      </c>
      <c r="C231" s="69" t="s">
        <v>128</v>
      </c>
      <c r="D231" s="69" t="s">
        <v>136</v>
      </c>
      <c r="E231" s="69" t="s">
        <v>24</v>
      </c>
      <c r="F231" s="68">
        <v>10310.1260347193</v>
      </c>
    </row>
    <row r="232" s="5" customFormat="1" customHeight="1" spans="1:6">
      <c r="A232" s="62">
        <v>228</v>
      </c>
      <c r="B232" s="69" t="s">
        <v>364</v>
      </c>
      <c r="C232" s="69" t="s">
        <v>128</v>
      </c>
      <c r="D232" s="69" t="s">
        <v>139</v>
      </c>
      <c r="E232" s="69" t="s">
        <v>24</v>
      </c>
      <c r="F232" s="68">
        <v>8053.98161332153</v>
      </c>
    </row>
    <row r="233" s="5" customFormat="1" customHeight="1" spans="1:6">
      <c r="A233" s="62">
        <v>229</v>
      </c>
      <c r="B233" s="69" t="s">
        <v>365</v>
      </c>
      <c r="C233" s="69" t="s">
        <v>258</v>
      </c>
      <c r="D233" s="69" t="s">
        <v>259</v>
      </c>
      <c r="E233" s="69" t="s">
        <v>24</v>
      </c>
      <c r="F233" s="68">
        <v>7451.49205847386</v>
      </c>
    </row>
    <row r="234" s="5" customFormat="1" customHeight="1" spans="1:6">
      <c r="A234" s="62">
        <v>230</v>
      </c>
      <c r="B234" s="69" t="s">
        <v>366</v>
      </c>
      <c r="C234" s="69" t="s">
        <v>258</v>
      </c>
      <c r="D234" s="69" t="s">
        <v>367</v>
      </c>
      <c r="E234" s="69" t="s">
        <v>24</v>
      </c>
      <c r="F234" s="68">
        <v>5724.43690864325</v>
      </c>
    </row>
    <row r="235" s="5" customFormat="1" customHeight="1" spans="1:6">
      <c r="A235" s="62">
        <v>231</v>
      </c>
      <c r="B235" s="69" t="s">
        <v>368</v>
      </c>
      <c r="C235" s="69" t="s">
        <v>258</v>
      </c>
      <c r="D235" s="69" t="s">
        <v>369</v>
      </c>
      <c r="E235" s="69" t="s">
        <v>24</v>
      </c>
      <c r="F235" s="68">
        <v>8769.45859919363</v>
      </c>
    </row>
    <row r="236" s="5" customFormat="1" customHeight="1" spans="1:6">
      <c r="A236" s="62">
        <v>232</v>
      </c>
      <c r="B236" s="69" t="s">
        <v>370</v>
      </c>
      <c r="C236" s="69" t="s">
        <v>177</v>
      </c>
      <c r="D236" s="69" t="s">
        <v>180</v>
      </c>
      <c r="E236" s="69" t="s">
        <v>24</v>
      </c>
      <c r="F236" s="68">
        <v>12869.7105622236</v>
      </c>
    </row>
    <row r="237" s="5" customFormat="1" customHeight="1" spans="1:6">
      <c r="A237" s="62">
        <v>233</v>
      </c>
      <c r="B237" s="69" t="s">
        <v>371</v>
      </c>
      <c r="C237" s="69" t="s">
        <v>372</v>
      </c>
      <c r="D237" s="69" t="s">
        <v>320</v>
      </c>
      <c r="E237" s="69" t="s">
        <v>24</v>
      </c>
      <c r="F237" s="68">
        <v>9218.32947449938</v>
      </c>
    </row>
    <row r="238" s="5" customFormat="1" customHeight="1" spans="1:6">
      <c r="A238" s="62">
        <v>234</v>
      </c>
      <c r="B238" s="69" t="s">
        <v>373</v>
      </c>
      <c r="C238" s="69" t="s">
        <v>221</v>
      </c>
      <c r="D238" s="69" t="s">
        <v>233</v>
      </c>
      <c r="E238" s="69" t="s">
        <v>24</v>
      </c>
      <c r="F238" s="68">
        <v>8028.38764319097</v>
      </c>
    </row>
    <row r="239" s="5" customFormat="1" customHeight="1" spans="1:6">
      <c r="A239" s="71" t="s">
        <v>374</v>
      </c>
      <c r="B239" s="71"/>
      <c r="C239" s="71"/>
      <c r="D239" s="71"/>
      <c r="E239" s="72"/>
      <c r="F239" s="73">
        <f>SUM(F5:F238)</f>
        <v>1413258.88069396</v>
      </c>
    </row>
    <row r="240" s="5" customFormat="1" ht="39" customHeight="1" spans="1:6">
      <c r="A240" s="71">
        <v>235</v>
      </c>
      <c r="B240" s="57" t="s">
        <v>375</v>
      </c>
      <c r="C240" s="71"/>
      <c r="D240" s="71"/>
      <c r="E240" s="72"/>
      <c r="F240" s="71">
        <v>120000</v>
      </c>
    </row>
    <row r="241" s="5" customFormat="1" customHeight="1" spans="1:6">
      <c r="A241" s="71"/>
      <c r="B241" s="71" t="s">
        <v>14</v>
      </c>
      <c r="C241" s="71"/>
      <c r="D241" s="71"/>
      <c r="E241" s="72"/>
      <c r="F241" s="73">
        <f>F239+F240</f>
        <v>1533258.88069396</v>
      </c>
    </row>
    <row r="242" s="5" customFormat="1" customHeight="1" spans="2:6">
      <c r="B242" s="4"/>
      <c r="C242" s="5"/>
      <c r="D242" s="5"/>
      <c r="E242" s="16"/>
      <c r="F242" s="4"/>
    </row>
    <row r="243" s="5" customFormat="1" customHeight="1" spans="5:5">
      <c r="E243" s="16"/>
    </row>
    <row r="244" s="5" customFormat="1" customHeight="1" spans="5:5">
      <c r="E244" s="16"/>
    </row>
    <row r="245" s="5" customFormat="1" customHeight="1" spans="5:5">
      <c r="E245" s="16"/>
    </row>
    <row r="246" s="5" customFormat="1" customHeight="1" spans="5:5">
      <c r="E246" s="16"/>
    </row>
    <row r="247" s="5" customFormat="1" customHeight="1" spans="5:5">
      <c r="E247" s="16"/>
    </row>
    <row r="248" s="5" customFormat="1" customHeight="1" spans="5:5">
      <c r="E248" s="16"/>
    </row>
    <row r="249" s="5" customFormat="1" customHeight="1" spans="5:5">
      <c r="E249" s="16"/>
    </row>
    <row r="250" s="5" customFormat="1" customHeight="1" spans="5:5">
      <c r="E250" s="16"/>
    </row>
    <row r="251" s="5" customFormat="1" customHeight="1" spans="5:5">
      <c r="E251" s="16"/>
    </row>
    <row r="252" s="5" customFormat="1" customHeight="1" spans="5:5">
      <c r="E252" s="16"/>
    </row>
    <row r="253" s="5" customFormat="1" customHeight="1" spans="5:5">
      <c r="E253" s="16"/>
    </row>
    <row r="254" s="5" customFormat="1" customHeight="1" spans="5:5">
      <c r="E254" s="16"/>
    </row>
    <row r="255" s="5" customFormat="1" customHeight="1" spans="5:5">
      <c r="E255" s="16"/>
    </row>
    <row r="256" s="5" customFormat="1" customHeight="1" spans="5:5">
      <c r="E256" s="16"/>
    </row>
    <row r="257" s="5" customFormat="1" customHeight="1" spans="5:5">
      <c r="E257" s="16"/>
    </row>
    <row r="258" s="5" customFormat="1" customHeight="1" spans="5:5">
      <c r="E258" s="16"/>
    </row>
    <row r="259" s="5" customFormat="1" customHeight="1" spans="5:5">
      <c r="E259" s="16"/>
    </row>
    <row r="260" s="5" customFormat="1" customHeight="1" spans="5:5">
      <c r="E260" s="16"/>
    </row>
    <row r="261" s="5" customFormat="1" customHeight="1" spans="5:5">
      <c r="E261" s="16"/>
    </row>
    <row r="262" s="5" customFormat="1" customHeight="1" spans="5:5">
      <c r="E262" s="16"/>
    </row>
    <row r="263" s="5" customFormat="1" customHeight="1" spans="5:5">
      <c r="E263" s="16"/>
    </row>
    <row r="264" s="5" customFormat="1" customHeight="1" spans="5:5">
      <c r="E264" s="16"/>
    </row>
    <row r="265" s="5" customFormat="1" customHeight="1" spans="5:5">
      <c r="E265" s="16"/>
    </row>
    <row r="266" s="5" customFormat="1" customHeight="1" spans="5:5">
      <c r="E266" s="16"/>
    </row>
    <row r="267" s="5" customFormat="1" customHeight="1" spans="5:5">
      <c r="E267" s="16"/>
    </row>
    <row r="268" s="5" customFormat="1" customHeight="1" spans="5:5">
      <c r="E268" s="16"/>
    </row>
    <row r="269" s="5" customFormat="1" customHeight="1" spans="5:5">
      <c r="E269" s="16"/>
    </row>
    <row r="270" s="5" customFormat="1" customHeight="1" spans="5:5">
      <c r="E270" s="16"/>
    </row>
    <row r="271" s="5" customFormat="1" customHeight="1" spans="1:5">
      <c r="A271" s="1"/>
      <c r="B271" s="1"/>
      <c r="C271" s="1"/>
      <c r="D271" s="1"/>
      <c r="E271" s="16"/>
    </row>
    <row r="272" s="5" customFormat="1" customHeight="1" spans="1:5">
      <c r="A272" s="1"/>
      <c r="B272" s="1"/>
      <c r="C272" s="1"/>
      <c r="D272" s="1"/>
      <c r="E272" s="16"/>
    </row>
    <row r="273" s="5" customFormat="1" customHeight="1" spans="1:5">
      <c r="A273" s="1"/>
      <c r="B273" s="1"/>
      <c r="C273" s="1"/>
      <c r="D273" s="1"/>
      <c r="E273" s="16"/>
    </row>
    <row r="274" s="5" customFormat="1" customHeight="1" spans="1:5">
      <c r="A274" s="1"/>
      <c r="B274" s="1"/>
      <c r="C274" s="1"/>
      <c r="D274" s="1"/>
      <c r="E274" s="16"/>
    </row>
    <row r="275" s="5" customFormat="1" customHeight="1" spans="1:5">
      <c r="A275" s="1"/>
      <c r="B275" s="1"/>
      <c r="C275" s="1"/>
      <c r="D275" s="1"/>
      <c r="E275" s="16"/>
    </row>
    <row r="276" customHeight="1" spans="5:6">
      <c r="E276" s="16"/>
      <c r="F276" s="5"/>
    </row>
    <row r="277" customHeight="1" spans="5:6">
      <c r="E277" s="16"/>
      <c r="F277" s="5"/>
    </row>
    <row r="278" customHeight="1" spans="5:6">
      <c r="E278" s="16"/>
      <c r="F278" s="5"/>
    </row>
    <row r="279" customHeight="1" spans="5:6">
      <c r="E279" s="16"/>
      <c r="F279" s="5"/>
    </row>
    <row r="280" customHeight="1" spans="5:6">
      <c r="E280" s="16"/>
      <c r="F280" s="5"/>
    </row>
    <row r="281" customHeight="1" spans="5:6">
      <c r="E281" s="16"/>
      <c r="F281" s="5"/>
    </row>
    <row r="282" customHeight="1" spans="5:6">
      <c r="E282" s="16"/>
      <c r="F282" s="5"/>
    </row>
    <row r="283" customHeight="1" spans="5:6">
      <c r="E283" s="16"/>
      <c r="F283" s="5"/>
    </row>
    <row r="284" customHeight="1" spans="5:6">
      <c r="E284" s="16"/>
      <c r="F284" s="5"/>
    </row>
    <row r="285" customHeight="1" spans="5:6">
      <c r="E285" s="16"/>
      <c r="F285" s="5"/>
    </row>
    <row r="286" customHeight="1" spans="6:6">
      <c r="F286" s="5"/>
    </row>
    <row r="287" customHeight="1" spans="6:6">
      <c r="F287" s="5"/>
    </row>
    <row r="288" customHeight="1" spans="6:6">
      <c r="F288" s="5"/>
    </row>
    <row r="289" customHeight="1" spans="6:6">
      <c r="F289" s="5"/>
    </row>
    <row r="290" customHeight="1" spans="6:6">
      <c r="F290" s="5"/>
    </row>
    <row r="291" customHeight="1" spans="6:6">
      <c r="F291" s="5"/>
    </row>
    <row r="292" customHeight="1" spans="6:6">
      <c r="F292" s="5"/>
    </row>
    <row r="293" customHeight="1" spans="6:6">
      <c r="F293" s="5"/>
    </row>
    <row r="294" customHeight="1" spans="6:6">
      <c r="F294" s="5"/>
    </row>
  </sheetData>
  <mergeCells count="8">
    <mergeCell ref="A1:F1"/>
    <mergeCell ref="A239:B239"/>
    <mergeCell ref="A2:A4"/>
    <mergeCell ref="B2:B4"/>
    <mergeCell ref="C2:C4"/>
    <mergeCell ref="D2:D4"/>
    <mergeCell ref="E2:E4"/>
    <mergeCell ref="F2:F4"/>
  </mergeCells>
  <conditionalFormatting sqref="B5">
    <cfRule type="cellIs" dxfId="0" priority="44" stopIfTrue="1" operator="equal">
      <formula>""</formula>
    </cfRule>
  </conditionalFormatting>
  <conditionalFormatting sqref="B6">
    <cfRule type="cellIs" dxfId="0" priority="47" stopIfTrue="1" operator="equal">
      <formula>""</formula>
    </cfRule>
  </conditionalFormatting>
  <conditionalFormatting sqref="B7">
    <cfRule type="cellIs" dxfId="0" priority="50" stopIfTrue="1" operator="equal">
      <formula>""</formula>
    </cfRule>
  </conditionalFormatting>
  <conditionalFormatting sqref="B8">
    <cfRule type="cellIs" dxfId="0" priority="53" stopIfTrue="1" operator="equal">
      <formula>""</formula>
    </cfRule>
  </conditionalFormatting>
  <conditionalFormatting sqref="B9">
    <cfRule type="cellIs" dxfId="0" priority="56" stopIfTrue="1" operator="equal">
      <formula>""</formula>
    </cfRule>
  </conditionalFormatting>
  <conditionalFormatting sqref="B10">
    <cfRule type="cellIs" dxfId="0" priority="59" stopIfTrue="1" operator="equal">
      <formula>""</formula>
    </cfRule>
  </conditionalFormatting>
  <conditionalFormatting sqref="B11">
    <cfRule type="cellIs" dxfId="0" priority="62" stopIfTrue="1" operator="equal">
      <formula>""</formula>
    </cfRule>
  </conditionalFormatting>
  <conditionalFormatting sqref="B12">
    <cfRule type="cellIs" dxfId="0" priority="65" stopIfTrue="1" operator="equal">
      <formula>""</formula>
    </cfRule>
  </conditionalFormatting>
  <conditionalFormatting sqref="B16">
    <cfRule type="cellIs" dxfId="0" priority="71" stopIfTrue="1" operator="equal">
      <formula>""</formula>
    </cfRule>
  </conditionalFormatting>
  <conditionalFormatting sqref="B17">
    <cfRule type="cellIs" dxfId="0" priority="74" stopIfTrue="1" operator="equal">
      <formula>""</formula>
    </cfRule>
  </conditionalFormatting>
  <conditionalFormatting sqref="B18">
    <cfRule type="cellIs" dxfId="0" priority="77" stopIfTrue="1" operator="equal">
      <formula>""</formula>
    </cfRule>
  </conditionalFormatting>
  <conditionalFormatting sqref="B19">
    <cfRule type="cellIs" dxfId="0" priority="80" stopIfTrue="1" operator="equal">
      <formula>""</formula>
    </cfRule>
  </conditionalFormatting>
  <conditionalFormatting sqref="B20">
    <cfRule type="cellIs" dxfId="0" priority="83" stopIfTrue="1" operator="equal">
      <formula>""</formula>
    </cfRule>
  </conditionalFormatting>
  <conditionalFormatting sqref="B21">
    <cfRule type="cellIs" dxfId="0" priority="86" stopIfTrue="1" operator="equal">
      <formula>""</formula>
    </cfRule>
  </conditionalFormatting>
  <conditionalFormatting sqref="B22">
    <cfRule type="cellIs" dxfId="0" priority="89" stopIfTrue="1" operator="equal">
      <formula>""</formula>
    </cfRule>
  </conditionalFormatting>
  <conditionalFormatting sqref="B23">
    <cfRule type="cellIs" dxfId="0" priority="92" stopIfTrue="1" operator="equal">
      <formula>""</formula>
    </cfRule>
  </conditionalFormatting>
  <conditionalFormatting sqref="B24">
    <cfRule type="cellIs" dxfId="0" priority="95" stopIfTrue="1" operator="equal">
      <formula>""</formula>
    </cfRule>
  </conditionalFormatting>
  <conditionalFormatting sqref="B25">
    <cfRule type="cellIs" dxfId="0" priority="98" stopIfTrue="1" operator="equal">
      <formula>""</formula>
    </cfRule>
  </conditionalFormatting>
  <conditionalFormatting sqref="B26">
    <cfRule type="cellIs" dxfId="0" priority="101" stopIfTrue="1" operator="equal">
      <formula>""</formula>
    </cfRule>
  </conditionalFormatting>
  <conditionalFormatting sqref="B27">
    <cfRule type="cellIs" dxfId="0" priority="104" stopIfTrue="1" operator="equal">
      <formula>""</formula>
    </cfRule>
  </conditionalFormatting>
  <conditionalFormatting sqref="B28">
    <cfRule type="cellIs" dxfId="0" priority="107" stopIfTrue="1" operator="equal">
      <formula>""</formula>
    </cfRule>
  </conditionalFormatting>
  <conditionalFormatting sqref="B29">
    <cfRule type="cellIs" dxfId="0" priority="110" stopIfTrue="1" operator="equal">
      <formula>""</formula>
    </cfRule>
  </conditionalFormatting>
  <conditionalFormatting sqref="B30">
    <cfRule type="cellIs" dxfId="0" priority="113" stopIfTrue="1" operator="equal">
      <formula>""</formula>
    </cfRule>
  </conditionalFormatting>
  <conditionalFormatting sqref="B31">
    <cfRule type="cellIs" dxfId="0" priority="116" stopIfTrue="1" operator="equal">
      <formula>""</formula>
    </cfRule>
  </conditionalFormatting>
  <conditionalFormatting sqref="B32">
    <cfRule type="cellIs" dxfId="0" priority="119" stopIfTrue="1" operator="equal">
      <formula>""</formula>
    </cfRule>
  </conditionalFormatting>
  <conditionalFormatting sqref="B33">
    <cfRule type="cellIs" dxfId="0" priority="125" stopIfTrue="1" operator="equal">
      <formula>""</formula>
    </cfRule>
  </conditionalFormatting>
  <conditionalFormatting sqref="B34">
    <cfRule type="cellIs" dxfId="0" priority="128" stopIfTrue="1" operator="equal">
      <formula>""</formula>
    </cfRule>
  </conditionalFormatting>
  <conditionalFormatting sqref="B35">
    <cfRule type="cellIs" dxfId="0" priority="131" stopIfTrue="1" operator="equal">
      <formula>""</formula>
    </cfRule>
  </conditionalFormatting>
  <conditionalFormatting sqref="B36">
    <cfRule type="cellIs" dxfId="0" priority="134" stopIfTrue="1" operator="equal">
      <formula>""</formula>
    </cfRule>
  </conditionalFormatting>
  <conditionalFormatting sqref="B37">
    <cfRule type="cellIs" dxfId="0" priority="137" stopIfTrue="1" operator="equal">
      <formula>""</formula>
    </cfRule>
  </conditionalFormatting>
  <conditionalFormatting sqref="B38">
    <cfRule type="cellIs" dxfId="0" priority="140" stopIfTrue="1" operator="equal">
      <formula>""</formula>
    </cfRule>
  </conditionalFormatting>
  <conditionalFormatting sqref="B39">
    <cfRule type="cellIs" dxfId="0" priority="143" stopIfTrue="1" operator="equal">
      <formula>""</formula>
    </cfRule>
  </conditionalFormatting>
  <conditionalFormatting sqref="B40">
    <cfRule type="cellIs" dxfId="0" priority="146" stopIfTrue="1" operator="equal">
      <formula>""</formula>
    </cfRule>
  </conditionalFormatting>
  <conditionalFormatting sqref="B41">
    <cfRule type="cellIs" dxfId="0" priority="155" stopIfTrue="1" operator="equal">
      <formula>""</formula>
    </cfRule>
  </conditionalFormatting>
  <conditionalFormatting sqref="B42">
    <cfRule type="cellIs" dxfId="0" priority="158" stopIfTrue="1" operator="equal">
      <formula>""</formula>
    </cfRule>
  </conditionalFormatting>
  <conditionalFormatting sqref="B43">
    <cfRule type="cellIs" dxfId="0" priority="161" stopIfTrue="1" operator="equal">
      <formula>""</formula>
    </cfRule>
  </conditionalFormatting>
  <conditionalFormatting sqref="B44">
    <cfRule type="cellIs" dxfId="0" priority="164" stopIfTrue="1" operator="equal">
      <formula>""</formula>
    </cfRule>
  </conditionalFormatting>
  <conditionalFormatting sqref="B45">
    <cfRule type="cellIs" dxfId="0" priority="167" stopIfTrue="1" operator="equal">
      <formula>""</formula>
    </cfRule>
  </conditionalFormatting>
  <conditionalFormatting sqref="B46">
    <cfRule type="cellIs" dxfId="0" priority="170" stopIfTrue="1" operator="equal">
      <formula>""</formula>
    </cfRule>
  </conditionalFormatting>
  <conditionalFormatting sqref="B47">
    <cfRule type="cellIs" dxfId="0" priority="173" stopIfTrue="1" operator="equal">
      <formula>""</formula>
    </cfRule>
  </conditionalFormatting>
  <conditionalFormatting sqref="B48">
    <cfRule type="cellIs" dxfId="0" priority="176" stopIfTrue="1" operator="equal">
      <formula>""</formula>
    </cfRule>
  </conditionalFormatting>
  <conditionalFormatting sqref="B49">
    <cfRule type="cellIs" dxfId="0" priority="179" stopIfTrue="1" operator="equal">
      <formula>""</formula>
    </cfRule>
  </conditionalFormatting>
  <conditionalFormatting sqref="B50">
    <cfRule type="cellIs" dxfId="0" priority="182" stopIfTrue="1" operator="equal">
      <formula>""</formula>
    </cfRule>
  </conditionalFormatting>
  <conditionalFormatting sqref="B51">
    <cfRule type="cellIs" dxfId="0" priority="185" stopIfTrue="1" operator="equal">
      <formula>""</formula>
    </cfRule>
  </conditionalFormatting>
  <conditionalFormatting sqref="B52">
    <cfRule type="cellIs" dxfId="0" priority="188" stopIfTrue="1" operator="equal">
      <formula>""</formula>
    </cfRule>
  </conditionalFormatting>
  <conditionalFormatting sqref="B53">
    <cfRule type="cellIs" dxfId="0" priority="191" stopIfTrue="1" operator="equal">
      <formula>""</formula>
    </cfRule>
  </conditionalFormatting>
  <conditionalFormatting sqref="B54">
    <cfRule type="cellIs" dxfId="0" priority="194" stopIfTrue="1" operator="equal">
      <formula>""</formula>
    </cfRule>
  </conditionalFormatting>
  <conditionalFormatting sqref="B55">
    <cfRule type="cellIs" dxfId="0" priority="197" stopIfTrue="1" operator="equal">
      <formula>""</formula>
    </cfRule>
  </conditionalFormatting>
  <conditionalFormatting sqref="B56">
    <cfRule type="cellIs" dxfId="0" priority="200" stopIfTrue="1" operator="equal">
      <formula>""</formula>
    </cfRule>
  </conditionalFormatting>
  <conditionalFormatting sqref="B57">
    <cfRule type="cellIs" dxfId="0" priority="203" stopIfTrue="1" operator="equal">
      <formula>""</formula>
    </cfRule>
  </conditionalFormatting>
  <conditionalFormatting sqref="B58">
    <cfRule type="cellIs" dxfId="0" priority="206" stopIfTrue="1" operator="equal">
      <formula>""</formula>
    </cfRule>
  </conditionalFormatting>
  <conditionalFormatting sqref="B59">
    <cfRule type="cellIs" dxfId="0" priority="209" stopIfTrue="1" operator="equal">
      <formula>""</formula>
    </cfRule>
  </conditionalFormatting>
  <conditionalFormatting sqref="B60">
    <cfRule type="cellIs" dxfId="0" priority="212" stopIfTrue="1" operator="equal">
      <formula>""</formula>
    </cfRule>
  </conditionalFormatting>
  <conditionalFormatting sqref="B61">
    <cfRule type="cellIs" dxfId="0" priority="215" stopIfTrue="1" operator="equal">
      <formula>""</formula>
    </cfRule>
  </conditionalFormatting>
  <conditionalFormatting sqref="B62">
    <cfRule type="cellIs" dxfId="0" priority="218" stopIfTrue="1" operator="equal">
      <formula>""</formula>
    </cfRule>
  </conditionalFormatting>
  <conditionalFormatting sqref="B63">
    <cfRule type="cellIs" dxfId="0" priority="221" stopIfTrue="1" operator="equal">
      <formula>""</formula>
    </cfRule>
  </conditionalFormatting>
  <conditionalFormatting sqref="B64">
    <cfRule type="cellIs" dxfId="0" priority="224" stopIfTrue="1" operator="equal">
      <formula>""</formula>
    </cfRule>
  </conditionalFormatting>
  <conditionalFormatting sqref="B65">
    <cfRule type="cellIs" dxfId="0" priority="227" stopIfTrue="1" operator="equal">
      <formula>""</formula>
    </cfRule>
  </conditionalFormatting>
  <conditionalFormatting sqref="B66">
    <cfRule type="cellIs" dxfId="0" priority="230" stopIfTrue="1" operator="equal">
      <formula>""</formula>
    </cfRule>
  </conditionalFormatting>
  <conditionalFormatting sqref="B67">
    <cfRule type="cellIs" dxfId="0" priority="233" stopIfTrue="1" operator="equal">
      <formula>""</formula>
    </cfRule>
  </conditionalFormatting>
  <conditionalFormatting sqref="B68">
    <cfRule type="cellIs" dxfId="0" priority="236" stopIfTrue="1" operator="equal">
      <formula>""</formula>
    </cfRule>
  </conditionalFormatting>
  <conditionalFormatting sqref="B69">
    <cfRule type="cellIs" dxfId="0" priority="239" stopIfTrue="1" operator="equal">
      <formula>""</formula>
    </cfRule>
  </conditionalFormatting>
  <conditionalFormatting sqref="B75">
    <cfRule type="cellIs" dxfId="0" priority="248" stopIfTrue="1" operator="equal">
      <formula>""</formula>
    </cfRule>
  </conditionalFormatting>
  <conditionalFormatting sqref="B76">
    <cfRule type="cellIs" dxfId="0" priority="263" stopIfTrue="1" operator="equal">
      <formula>""</formula>
    </cfRule>
  </conditionalFormatting>
  <conditionalFormatting sqref="B77">
    <cfRule type="cellIs" dxfId="0" priority="266" stopIfTrue="1" operator="equal">
      <formula>""</formula>
    </cfRule>
  </conditionalFormatting>
  <conditionalFormatting sqref="B78">
    <cfRule type="cellIs" dxfId="0" priority="269" stopIfTrue="1" operator="equal">
      <formula>""</formula>
    </cfRule>
  </conditionalFormatting>
  <conditionalFormatting sqref="B79">
    <cfRule type="cellIs" dxfId="0" priority="272" stopIfTrue="1" operator="equal">
      <formula>""</formula>
    </cfRule>
  </conditionalFormatting>
  <conditionalFormatting sqref="B80">
    <cfRule type="cellIs" dxfId="0" priority="275" stopIfTrue="1" operator="equal">
      <formula>""</formula>
    </cfRule>
  </conditionalFormatting>
  <conditionalFormatting sqref="B81">
    <cfRule type="cellIs" dxfId="0" priority="278" stopIfTrue="1" operator="equal">
      <formula>""</formula>
    </cfRule>
  </conditionalFormatting>
  <conditionalFormatting sqref="B82">
    <cfRule type="cellIs" dxfId="0" priority="293" stopIfTrue="1" operator="equal">
      <formula>""</formula>
    </cfRule>
  </conditionalFormatting>
  <conditionalFormatting sqref="B83">
    <cfRule type="cellIs" dxfId="0" priority="296" stopIfTrue="1" operator="equal">
      <formula>""</formula>
    </cfRule>
  </conditionalFormatting>
  <conditionalFormatting sqref="B84">
    <cfRule type="cellIs" dxfId="0" priority="299" stopIfTrue="1" operator="equal">
      <formula>""</formula>
    </cfRule>
  </conditionalFormatting>
  <conditionalFormatting sqref="B85">
    <cfRule type="cellIs" dxfId="0" priority="302" stopIfTrue="1" operator="equal">
      <formula>""</formula>
    </cfRule>
  </conditionalFormatting>
  <conditionalFormatting sqref="B86">
    <cfRule type="cellIs" dxfId="0" priority="305" stopIfTrue="1" operator="equal">
      <formula>""</formula>
    </cfRule>
  </conditionalFormatting>
  <conditionalFormatting sqref="B87">
    <cfRule type="cellIs" dxfId="0" priority="308" stopIfTrue="1" operator="equal">
      <formula>""</formula>
    </cfRule>
  </conditionalFormatting>
  <conditionalFormatting sqref="B88">
    <cfRule type="cellIs" dxfId="0" priority="311" stopIfTrue="1" operator="equal">
      <formula>""</formula>
    </cfRule>
  </conditionalFormatting>
  <conditionalFormatting sqref="B89">
    <cfRule type="cellIs" dxfId="0" priority="314" stopIfTrue="1" operator="equal">
      <formula>""</formula>
    </cfRule>
  </conditionalFormatting>
  <conditionalFormatting sqref="B90">
    <cfRule type="cellIs" dxfId="0" priority="41" stopIfTrue="1" operator="equal">
      <formula>""</formula>
    </cfRule>
  </conditionalFormatting>
  <conditionalFormatting sqref="B91">
    <cfRule type="cellIs" dxfId="0" priority="317" stopIfTrue="1" operator="equal">
      <formula>""</formula>
    </cfRule>
  </conditionalFormatting>
  <conditionalFormatting sqref="B92">
    <cfRule type="cellIs" dxfId="0" priority="320" stopIfTrue="1" operator="equal">
      <formula>""</formula>
    </cfRule>
  </conditionalFormatting>
  <conditionalFormatting sqref="B93">
    <cfRule type="cellIs" dxfId="0" priority="323" stopIfTrue="1" operator="equal">
      <formula>""</formula>
    </cfRule>
  </conditionalFormatting>
  <conditionalFormatting sqref="B94">
    <cfRule type="cellIs" dxfId="0" priority="326" stopIfTrue="1" operator="equal">
      <formula>""</formula>
    </cfRule>
  </conditionalFormatting>
  <conditionalFormatting sqref="B95">
    <cfRule type="cellIs" dxfId="0" priority="329" stopIfTrue="1" operator="equal">
      <formula>""</formula>
    </cfRule>
  </conditionalFormatting>
  <conditionalFormatting sqref="B96">
    <cfRule type="cellIs" dxfId="0" priority="335" stopIfTrue="1" operator="equal">
      <formula>""</formula>
    </cfRule>
  </conditionalFormatting>
  <conditionalFormatting sqref="B97">
    <cfRule type="cellIs" dxfId="0" priority="338" stopIfTrue="1" operator="equal">
      <formula>""</formula>
    </cfRule>
  </conditionalFormatting>
  <conditionalFormatting sqref="B98">
    <cfRule type="cellIs" dxfId="0" priority="341" stopIfTrue="1" operator="equal">
      <formula>""</formula>
    </cfRule>
  </conditionalFormatting>
  <conditionalFormatting sqref="B99">
    <cfRule type="cellIs" dxfId="0" priority="344" stopIfTrue="1" operator="equal">
      <formula>""</formula>
    </cfRule>
  </conditionalFormatting>
  <conditionalFormatting sqref="B100">
    <cfRule type="cellIs" dxfId="0" priority="347" stopIfTrue="1" operator="equal">
      <formula>""</formula>
    </cfRule>
  </conditionalFormatting>
  <conditionalFormatting sqref="B101">
    <cfRule type="cellIs" dxfId="0" priority="350" stopIfTrue="1" operator="equal">
      <formula>""</formula>
    </cfRule>
  </conditionalFormatting>
  <conditionalFormatting sqref="B102">
    <cfRule type="cellIs" dxfId="0" priority="353" stopIfTrue="1" operator="equal">
      <formula>""</formula>
    </cfRule>
  </conditionalFormatting>
  <conditionalFormatting sqref="B103">
    <cfRule type="cellIs" dxfId="0" priority="356" stopIfTrue="1" operator="equal">
      <formula>""</formula>
    </cfRule>
  </conditionalFormatting>
  <conditionalFormatting sqref="B104">
    <cfRule type="cellIs" dxfId="0" priority="359" stopIfTrue="1" operator="equal">
      <formula>""</formula>
    </cfRule>
  </conditionalFormatting>
  <conditionalFormatting sqref="B105">
    <cfRule type="cellIs" dxfId="0" priority="362" stopIfTrue="1" operator="equal">
      <formula>""</formula>
    </cfRule>
  </conditionalFormatting>
  <conditionalFormatting sqref="B106">
    <cfRule type="cellIs" dxfId="0" priority="366" stopIfTrue="1" operator="equal">
      <formula>""</formula>
    </cfRule>
  </conditionalFormatting>
  <conditionalFormatting sqref="B107">
    <cfRule type="cellIs" dxfId="0" priority="367" stopIfTrue="1" operator="equal">
      <formula>""</formula>
    </cfRule>
  </conditionalFormatting>
  <conditionalFormatting sqref="B108">
    <cfRule type="cellIs" dxfId="0" priority="368" stopIfTrue="1" operator="equal">
      <formula>""</formula>
    </cfRule>
  </conditionalFormatting>
  <conditionalFormatting sqref="B111">
    <cfRule type="cellIs" dxfId="0" priority="369" stopIfTrue="1" operator="equal">
      <formula>""</formula>
    </cfRule>
  </conditionalFormatting>
  <conditionalFormatting sqref="C111">
    <cfRule type="cellIs" dxfId="0" priority="370" stopIfTrue="1" operator="equal">
      <formula>""</formula>
    </cfRule>
  </conditionalFormatting>
  <conditionalFormatting sqref="B112">
    <cfRule type="cellIs" dxfId="0" priority="371" stopIfTrue="1" operator="equal">
      <formula>""</formula>
    </cfRule>
  </conditionalFormatting>
  <conditionalFormatting sqref="C112">
    <cfRule type="cellIs" dxfId="0" priority="372" stopIfTrue="1" operator="equal">
      <formula>""</formula>
    </cfRule>
  </conditionalFormatting>
  <conditionalFormatting sqref="B113">
    <cfRule type="cellIs" dxfId="0" priority="373" stopIfTrue="1" operator="equal">
      <formula>""</formula>
    </cfRule>
  </conditionalFormatting>
  <conditionalFormatting sqref="C113">
    <cfRule type="cellIs" dxfId="0" priority="374" stopIfTrue="1" operator="equal">
      <formula>""</formula>
    </cfRule>
  </conditionalFormatting>
  <conditionalFormatting sqref="B114">
    <cfRule type="cellIs" dxfId="0" priority="375" stopIfTrue="1" operator="equal">
      <formula>""</formula>
    </cfRule>
  </conditionalFormatting>
  <conditionalFormatting sqref="C114">
    <cfRule type="cellIs" dxfId="0" priority="376" stopIfTrue="1" operator="equal">
      <formula>""</formula>
    </cfRule>
  </conditionalFormatting>
  <conditionalFormatting sqref="B115">
    <cfRule type="cellIs" dxfId="0" priority="377" stopIfTrue="1" operator="equal">
      <formula>""</formula>
    </cfRule>
  </conditionalFormatting>
  <conditionalFormatting sqref="C115">
    <cfRule type="cellIs" dxfId="0" priority="378" stopIfTrue="1" operator="equal">
      <formula>""</formula>
    </cfRule>
  </conditionalFormatting>
  <conditionalFormatting sqref="B116">
    <cfRule type="cellIs" dxfId="0" priority="379" stopIfTrue="1" operator="equal">
      <formula>""</formula>
    </cfRule>
  </conditionalFormatting>
  <conditionalFormatting sqref="C116">
    <cfRule type="cellIs" dxfId="0" priority="380" stopIfTrue="1" operator="equal">
      <formula>""</formula>
    </cfRule>
  </conditionalFormatting>
  <conditionalFormatting sqref="B117">
    <cfRule type="cellIs" dxfId="0" priority="381" stopIfTrue="1" operator="equal">
      <formula>""</formula>
    </cfRule>
  </conditionalFormatting>
  <conditionalFormatting sqref="C117">
    <cfRule type="cellIs" dxfId="0" priority="382" stopIfTrue="1" operator="equal">
      <formula>""</formula>
    </cfRule>
  </conditionalFormatting>
  <conditionalFormatting sqref="B118">
    <cfRule type="cellIs" dxfId="0" priority="383" stopIfTrue="1" operator="equal">
      <formula>""</formula>
    </cfRule>
  </conditionalFormatting>
  <conditionalFormatting sqref="C118">
    <cfRule type="cellIs" dxfId="0" priority="384" stopIfTrue="1" operator="equal">
      <formula>""</formula>
    </cfRule>
  </conditionalFormatting>
  <conditionalFormatting sqref="B119">
    <cfRule type="cellIs" dxfId="0" priority="385" stopIfTrue="1" operator="equal">
      <formula>""</formula>
    </cfRule>
  </conditionalFormatting>
  <conditionalFormatting sqref="C119">
    <cfRule type="cellIs" dxfId="0" priority="386" stopIfTrue="1" operator="equal">
      <formula>""</formula>
    </cfRule>
  </conditionalFormatting>
  <conditionalFormatting sqref="B120">
    <cfRule type="cellIs" dxfId="0" priority="387" stopIfTrue="1" operator="equal">
      <formula>""</formula>
    </cfRule>
  </conditionalFormatting>
  <conditionalFormatting sqref="C120">
    <cfRule type="cellIs" dxfId="0" priority="388" stopIfTrue="1" operator="equal">
      <formula>""</formula>
    </cfRule>
  </conditionalFormatting>
  <conditionalFormatting sqref="B121">
    <cfRule type="cellIs" dxfId="0" priority="389" stopIfTrue="1" operator="equal">
      <formula>""</formula>
    </cfRule>
  </conditionalFormatting>
  <conditionalFormatting sqref="C121">
    <cfRule type="cellIs" dxfId="0" priority="390" stopIfTrue="1" operator="equal">
      <formula>""</formula>
    </cfRule>
  </conditionalFormatting>
  <conditionalFormatting sqref="B122">
    <cfRule type="cellIs" dxfId="0" priority="391" stopIfTrue="1" operator="equal">
      <formula>""</formula>
    </cfRule>
  </conditionalFormatting>
  <conditionalFormatting sqref="C122">
    <cfRule type="cellIs" dxfId="0" priority="392" stopIfTrue="1" operator="equal">
      <formula>""</formula>
    </cfRule>
  </conditionalFormatting>
  <conditionalFormatting sqref="B123">
    <cfRule type="cellIs" dxfId="0" priority="393" stopIfTrue="1" operator="equal">
      <formula>""</formula>
    </cfRule>
  </conditionalFormatting>
  <conditionalFormatting sqref="C123">
    <cfRule type="cellIs" dxfId="0" priority="394" stopIfTrue="1" operator="equal">
      <formula>""</formula>
    </cfRule>
  </conditionalFormatting>
  <conditionalFormatting sqref="B124">
    <cfRule type="cellIs" dxfId="0" priority="395" stopIfTrue="1" operator="equal">
      <formula>""</formula>
    </cfRule>
  </conditionalFormatting>
  <conditionalFormatting sqref="C124">
    <cfRule type="cellIs" dxfId="0" priority="396" stopIfTrue="1" operator="equal">
      <formula>""</formula>
    </cfRule>
  </conditionalFormatting>
  <conditionalFormatting sqref="B125">
    <cfRule type="cellIs" dxfId="0" priority="397" stopIfTrue="1" operator="equal">
      <formula>""</formula>
    </cfRule>
  </conditionalFormatting>
  <conditionalFormatting sqref="C125">
    <cfRule type="cellIs" dxfId="0" priority="398" stopIfTrue="1" operator="equal">
      <formula>""</formula>
    </cfRule>
  </conditionalFormatting>
  <conditionalFormatting sqref="B126">
    <cfRule type="cellIs" dxfId="0" priority="399" stopIfTrue="1" operator="equal">
      <formula>""</formula>
    </cfRule>
  </conditionalFormatting>
  <conditionalFormatting sqref="C126">
    <cfRule type="cellIs" dxfId="0" priority="400" stopIfTrue="1" operator="equal">
      <formula>""</formula>
    </cfRule>
  </conditionalFormatting>
  <conditionalFormatting sqref="B127">
    <cfRule type="cellIs" dxfId="0" priority="401" stopIfTrue="1" operator="equal">
      <formula>""</formula>
    </cfRule>
  </conditionalFormatting>
  <conditionalFormatting sqref="C127">
    <cfRule type="cellIs" dxfId="0" priority="402" stopIfTrue="1" operator="equal">
      <formula>""</formula>
    </cfRule>
  </conditionalFormatting>
  <conditionalFormatting sqref="B128">
    <cfRule type="cellIs" dxfId="0" priority="403" stopIfTrue="1" operator="equal">
      <formula>""</formula>
    </cfRule>
  </conditionalFormatting>
  <conditionalFormatting sqref="C128">
    <cfRule type="cellIs" dxfId="0" priority="404" stopIfTrue="1" operator="equal">
      <formula>""</formula>
    </cfRule>
  </conditionalFormatting>
  <conditionalFormatting sqref="B129">
    <cfRule type="cellIs" dxfId="0" priority="405" stopIfTrue="1" operator="equal">
      <formula>""</formula>
    </cfRule>
  </conditionalFormatting>
  <conditionalFormatting sqref="C129">
    <cfRule type="cellIs" dxfId="0" priority="406" stopIfTrue="1" operator="equal">
      <formula>""</formula>
    </cfRule>
  </conditionalFormatting>
  <conditionalFormatting sqref="B130">
    <cfRule type="cellIs" dxfId="0" priority="407" stopIfTrue="1" operator="equal">
      <formula>""</formula>
    </cfRule>
  </conditionalFormatting>
  <conditionalFormatting sqref="C130">
    <cfRule type="cellIs" dxfId="0" priority="408" stopIfTrue="1" operator="equal">
      <formula>""</formula>
    </cfRule>
  </conditionalFormatting>
  <conditionalFormatting sqref="B131">
    <cfRule type="cellIs" dxfId="0" priority="409" stopIfTrue="1" operator="equal">
      <formula>""</formula>
    </cfRule>
  </conditionalFormatting>
  <conditionalFormatting sqref="C131">
    <cfRule type="cellIs" dxfId="0" priority="410" stopIfTrue="1" operator="equal">
      <formula>""</formula>
    </cfRule>
  </conditionalFormatting>
  <conditionalFormatting sqref="B132">
    <cfRule type="cellIs" dxfId="0" priority="35" stopIfTrue="1" operator="equal">
      <formula>""</formula>
    </cfRule>
  </conditionalFormatting>
  <conditionalFormatting sqref="C132">
    <cfRule type="cellIs" dxfId="0" priority="36" stopIfTrue="1" operator="equal">
      <formula>""</formula>
    </cfRule>
  </conditionalFormatting>
  <conditionalFormatting sqref="B135">
    <cfRule type="cellIs" dxfId="0" priority="413" stopIfTrue="1" operator="equal">
      <formula>""</formula>
    </cfRule>
  </conditionalFormatting>
  <conditionalFormatting sqref="C135">
    <cfRule type="cellIs" dxfId="0" priority="414" stopIfTrue="1" operator="equal">
      <formula>""</formula>
    </cfRule>
  </conditionalFormatting>
  <conditionalFormatting sqref="B136">
    <cfRule type="cellIs" dxfId="0" priority="415" stopIfTrue="1" operator="equal">
      <formula>""</formula>
    </cfRule>
  </conditionalFormatting>
  <conditionalFormatting sqref="C136">
    <cfRule type="cellIs" dxfId="0" priority="416" stopIfTrue="1" operator="equal">
      <formula>""</formula>
    </cfRule>
  </conditionalFormatting>
  <conditionalFormatting sqref="B137">
    <cfRule type="cellIs" dxfId="0" priority="417" stopIfTrue="1" operator="equal">
      <formula>""</formula>
    </cfRule>
  </conditionalFormatting>
  <conditionalFormatting sqref="C137">
    <cfRule type="cellIs" dxfId="0" priority="418" stopIfTrue="1" operator="equal">
      <formula>""</formula>
    </cfRule>
  </conditionalFormatting>
  <conditionalFormatting sqref="B138">
    <cfRule type="cellIs" dxfId="0" priority="419" stopIfTrue="1" operator="equal">
      <formula>""</formula>
    </cfRule>
  </conditionalFormatting>
  <conditionalFormatting sqref="C138">
    <cfRule type="cellIs" dxfId="0" priority="420" stopIfTrue="1" operator="equal">
      <formula>""</formula>
    </cfRule>
  </conditionalFormatting>
  <conditionalFormatting sqref="B139">
    <cfRule type="cellIs" dxfId="0" priority="421" stopIfTrue="1" operator="equal">
      <formula>""</formula>
    </cfRule>
  </conditionalFormatting>
  <conditionalFormatting sqref="C139">
    <cfRule type="cellIs" dxfId="0" priority="422" stopIfTrue="1" operator="equal">
      <formula>""</formula>
    </cfRule>
  </conditionalFormatting>
  <conditionalFormatting sqref="B140">
    <cfRule type="cellIs" dxfId="0" priority="423" stopIfTrue="1" operator="equal">
      <formula>""</formula>
    </cfRule>
  </conditionalFormatting>
  <conditionalFormatting sqref="C140">
    <cfRule type="cellIs" dxfId="0" priority="424" stopIfTrue="1" operator="equal">
      <formula>""</formula>
    </cfRule>
  </conditionalFormatting>
  <conditionalFormatting sqref="B141">
    <cfRule type="cellIs" dxfId="0" priority="425" stopIfTrue="1" operator="equal">
      <formula>""</formula>
    </cfRule>
  </conditionalFormatting>
  <conditionalFormatting sqref="C141">
    <cfRule type="cellIs" dxfId="0" priority="426" stopIfTrue="1" operator="equal">
      <formula>""</formula>
    </cfRule>
  </conditionalFormatting>
  <conditionalFormatting sqref="B142">
    <cfRule type="cellIs" dxfId="0" priority="427" stopIfTrue="1" operator="equal">
      <formula>""</formula>
    </cfRule>
  </conditionalFormatting>
  <conditionalFormatting sqref="C142">
    <cfRule type="cellIs" dxfId="0" priority="428" stopIfTrue="1" operator="equal">
      <formula>""</formula>
    </cfRule>
  </conditionalFormatting>
  <conditionalFormatting sqref="B143">
    <cfRule type="cellIs" dxfId="0" priority="429" stopIfTrue="1" operator="equal">
      <formula>""</formula>
    </cfRule>
  </conditionalFormatting>
  <conditionalFormatting sqref="C143">
    <cfRule type="cellIs" dxfId="0" priority="430" stopIfTrue="1" operator="equal">
      <formula>""</formula>
    </cfRule>
  </conditionalFormatting>
  <conditionalFormatting sqref="B144">
    <cfRule type="cellIs" dxfId="0" priority="431" stopIfTrue="1" operator="equal">
      <formula>""</formula>
    </cfRule>
  </conditionalFormatting>
  <conditionalFormatting sqref="C144">
    <cfRule type="cellIs" dxfId="0" priority="432" stopIfTrue="1" operator="equal">
      <formula>""</formula>
    </cfRule>
  </conditionalFormatting>
  <conditionalFormatting sqref="B145">
    <cfRule type="cellIs" dxfId="0" priority="433" stopIfTrue="1" operator="equal">
      <formula>""</formula>
    </cfRule>
  </conditionalFormatting>
  <conditionalFormatting sqref="C145">
    <cfRule type="cellIs" dxfId="0" priority="434" stopIfTrue="1" operator="equal">
      <formula>""</formula>
    </cfRule>
  </conditionalFormatting>
  <conditionalFormatting sqref="B146">
    <cfRule type="cellIs" dxfId="0" priority="435" stopIfTrue="1" operator="equal">
      <formula>""</formula>
    </cfRule>
  </conditionalFormatting>
  <conditionalFormatting sqref="C146">
    <cfRule type="cellIs" dxfId="0" priority="436" stopIfTrue="1" operator="equal">
      <formula>""</formula>
    </cfRule>
  </conditionalFormatting>
  <conditionalFormatting sqref="B147">
    <cfRule type="cellIs" dxfId="0" priority="437" stopIfTrue="1" operator="equal">
      <formula>""</formula>
    </cfRule>
  </conditionalFormatting>
  <conditionalFormatting sqref="C147">
    <cfRule type="cellIs" dxfId="0" priority="438" stopIfTrue="1" operator="equal">
      <formula>""</formula>
    </cfRule>
  </conditionalFormatting>
  <conditionalFormatting sqref="B148">
    <cfRule type="cellIs" dxfId="0" priority="439" stopIfTrue="1" operator="equal">
      <formula>""</formula>
    </cfRule>
  </conditionalFormatting>
  <conditionalFormatting sqref="C148">
    <cfRule type="cellIs" dxfId="0" priority="440" stopIfTrue="1" operator="equal">
      <formula>""</formula>
    </cfRule>
  </conditionalFormatting>
  <conditionalFormatting sqref="C149">
    <cfRule type="cellIs" dxfId="0" priority="441" stopIfTrue="1" operator="equal">
      <formula>""</formula>
    </cfRule>
  </conditionalFormatting>
  <conditionalFormatting sqref="B150">
    <cfRule type="cellIs" dxfId="0" priority="442" stopIfTrue="1" operator="equal">
      <formula>""</formula>
    </cfRule>
  </conditionalFormatting>
  <conditionalFormatting sqref="C150">
    <cfRule type="cellIs" dxfId="0" priority="443" stopIfTrue="1" operator="equal">
      <formula>""</formula>
    </cfRule>
  </conditionalFormatting>
  <conditionalFormatting sqref="B151">
    <cfRule type="cellIs" dxfId="0" priority="444" stopIfTrue="1" operator="equal">
      <formula>""</formula>
    </cfRule>
  </conditionalFormatting>
  <conditionalFormatting sqref="C151">
    <cfRule type="cellIs" dxfId="0" priority="445" stopIfTrue="1" operator="equal">
      <formula>""</formula>
    </cfRule>
  </conditionalFormatting>
  <conditionalFormatting sqref="B152">
    <cfRule type="cellIs" dxfId="0" priority="446" stopIfTrue="1" operator="equal">
      <formula>""</formula>
    </cfRule>
  </conditionalFormatting>
  <conditionalFormatting sqref="C152">
    <cfRule type="cellIs" dxfId="0" priority="447" stopIfTrue="1" operator="equal">
      <formula>""</formula>
    </cfRule>
  </conditionalFormatting>
  <conditionalFormatting sqref="B153">
    <cfRule type="cellIs" dxfId="0" priority="448" stopIfTrue="1" operator="equal">
      <formula>""</formula>
    </cfRule>
  </conditionalFormatting>
  <conditionalFormatting sqref="C153">
    <cfRule type="cellIs" dxfId="0" priority="449" stopIfTrue="1" operator="equal">
      <formula>""</formula>
    </cfRule>
  </conditionalFormatting>
  <conditionalFormatting sqref="B154">
    <cfRule type="cellIs" dxfId="0" priority="450" stopIfTrue="1" operator="equal">
      <formula>""</formula>
    </cfRule>
  </conditionalFormatting>
  <conditionalFormatting sqref="C154">
    <cfRule type="cellIs" dxfId="0" priority="451" stopIfTrue="1" operator="equal">
      <formula>""</formula>
    </cfRule>
  </conditionalFormatting>
  <conditionalFormatting sqref="B155">
    <cfRule type="cellIs" dxfId="0" priority="452" stopIfTrue="1" operator="equal">
      <formula>""</formula>
    </cfRule>
  </conditionalFormatting>
  <conditionalFormatting sqref="C155">
    <cfRule type="cellIs" dxfId="0" priority="453" stopIfTrue="1" operator="equal">
      <formula>""</formula>
    </cfRule>
  </conditionalFormatting>
  <conditionalFormatting sqref="B156">
    <cfRule type="cellIs" dxfId="0" priority="454" stopIfTrue="1" operator="equal">
      <formula>""</formula>
    </cfRule>
  </conditionalFormatting>
  <conditionalFormatting sqref="C156">
    <cfRule type="cellIs" dxfId="0" priority="455" stopIfTrue="1" operator="equal">
      <formula>""</formula>
    </cfRule>
  </conditionalFormatting>
  <conditionalFormatting sqref="B157">
    <cfRule type="cellIs" dxfId="0" priority="456" stopIfTrue="1" operator="equal">
      <formula>""</formula>
    </cfRule>
  </conditionalFormatting>
  <conditionalFormatting sqref="C157">
    <cfRule type="cellIs" dxfId="0" priority="457" stopIfTrue="1" operator="equal">
      <formula>""</formula>
    </cfRule>
  </conditionalFormatting>
  <conditionalFormatting sqref="B158">
    <cfRule type="cellIs" dxfId="0" priority="458" stopIfTrue="1" operator="equal">
      <formula>""</formula>
    </cfRule>
  </conditionalFormatting>
  <conditionalFormatting sqref="C158">
    <cfRule type="cellIs" dxfId="0" priority="459" stopIfTrue="1" operator="equal">
      <formula>""</formula>
    </cfRule>
  </conditionalFormatting>
  <conditionalFormatting sqref="B159">
    <cfRule type="cellIs" dxfId="0" priority="460" stopIfTrue="1" operator="equal">
      <formula>""</formula>
    </cfRule>
  </conditionalFormatting>
  <conditionalFormatting sqref="C159">
    <cfRule type="cellIs" dxfId="0" priority="461" stopIfTrue="1" operator="equal">
      <formula>""</formula>
    </cfRule>
  </conditionalFormatting>
  <conditionalFormatting sqref="B160">
    <cfRule type="cellIs" dxfId="0" priority="462" stopIfTrue="1" operator="equal">
      <formula>""</formula>
    </cfRule>
  </conditionalFormatting>
  <conditionalFormatting sqref="C160">
    <cfRule type="cellIs" dxfId="0" priority="463" stopIfTrue="1" operator="equal">
      <formula>""</formula>
    </cfRule>
  </conditionalFormatting>
  <conditionalFormatting sqref="B161">
    <cfRule type="cellIs" dxfId="0" priority="464" stopIfTrue="1" operator="equal">
      <formula>""</formula>
    </cfRule>
  </conditionalFormatting>
  <conditionalFormatting sqref="C161">
    <cfRule type="cellIs" dxfId="0" priority="465" stopIfTrue="1" operator="equal">
      <formula>""</formula>
    </cfRule>
  </conditionalFormatting>
  <conditionalFormatting sqref="B162">
    <cfRule type="cellIs" dxfId="0" priority="466" stopIfTrue="1" operator="equal">
      <formula>""</formula>
    </cfRule>
  </conditionalFormatting>
  <conditionalFormatting sqref="C162">
    <cfRule type="cellIs" dxfId="0" priority="467" stopIfTrue="1" operator="equal">
      <formula>""</formula>
    </cfRule>
  </conditionalFormatting>
  <conditionalFormatting sqref="B163">
    <cfRule type="cellIs" dxfId="0" priority="468" stopIfTrue="1" operator="equal">
      <formula>""</formula>
    </cfRule>
  </conditionalFormatting>
  <conditionalFormatting sqref="C163">
    <cfRule type="cellIs" dxfId="0" priority="469" stopIfTrue="1" operator="equal">
      <formula>""</formula>
    </cfRule>
  </conditionalFormatting>
  <conditionalFormatting sqref="B164">
    <cfRule type="cellIs" dxfId="0" priority="470" stopIfTrue="1" operator="equal">
      <formula>""</formula>
    </cfRule>
  </conditionalFormatting>
  <conditionalFormatting sqref="C164">
    <cfRule type="cellIs" dxfId="0" priority="471" stopIfTrue="1" operator="equal">
      <formula>""</formula>
    </cfRule>
  </conditionalFormatting>
  <conditionalFormatting sqref="B165">
    <cfRule type="cellIs" dxfId="0" priority="472" stopIfTrue="1" operator="equal">
      <formula>""</formula>
    </cfRule>
  </conditionalFormatting>
  <conditionalFormatting sqref="C165">
    <cfRule type="cellIs" dxfId="0" priority="473" stopIfTrue="1" operator="equal">
      <formula>""</formula>
    </cfRule>
  </conditionalFormatting>
  <conditionalFormatting sqref="B166">
    <cfRule type="cellIs" dxfId="0" priority="474" stopIfTrue="1" operator="equal">
      <formula>""</formula>
    </cfRule>
  </conditionalFormatting>
  <conditionalFormatting sqref="C166">
    <cfRule type="cellIs" dxfId="0" priority="475" stopIfTrue="1" operator="equal">
      <formula>""</formula>
    </cfRule>
  </conditionalFormatting>
  <conditionalFormatting sqref="B167">
    <cfRule type="cellIs" dxfId="0" priority="476" stopIfTrue="1" operator="equal">
      <formula>""</formula>
    </cfRule>
  </conditionalFormatting>
  <conditionalFormatting sqref="C167">
    <cfRule type="cellIs" dxfId="0" priority="477" stopIfTrue="1" operator="equal">
      <formula>""</formula>
    </cfRule>
  </conditionalFormatting>
  <conditionalFormatting sqref="B168">
    <cfRule type="cellIs" dxfId="0" priority="478" stopIfTrue="1" operator="equal">
      <formula>""</formula>
    </cfRule>
  </conditionalFormatting>
  <conditionalFormatting sqref="C168">
    <cfRule type="cellIs" dxfId="0" priority="479" stopIfTrue="1" operator="equal">
      <formula>""</formula>
    </cfRule>
  </conditionalFormatting>
  <conditionalFormatting sqref="B169">
    <cfRule type="cellIs" dxfId="0" priority="480" stopIfTrue="1" operator="equal">
      <formula>""</formula>
    </cfRule>
  </conditionalFormatting>
  <conditionalFormatting sqref="C169">
    <cfRule type="cellIs" dxfId="0" priority="481" stopIfTrue="1" operator="equal">
      <formula>""</formula>
    </cfRule>
  </conditionalFormatting>
  <conditionalFormatting sqref="B170">
    <cfRule type="cellIs" dxfId="0" priority="482" stopIfTrue="1" operator="equal">
      <formula>""</formula>
    </cfRule>
  </conditionalFormatting>
  <conditionalFormatting sqref="C170">
    <cfRule type="cellIs" dxfId="0" priority="483" stopIfTrue="1" operator="equal">
      <formula>""</formula>
    </cfRule>
  </conditionalFormatting>
  <conditionalFormatting sqref="B171">
    <cfRule type="cellIs" dxfId="0" priority="484" stopIfTrue="1" operator="equal">
      <formula>""</formula>
    </cfRule>
  </conditionalFormatting>
  <conditionalFormatting sqref="C171">
    <cfRule type="cellIs" dxfId="0" priority="485" stopIfTrue="1" operator="equal">
      <formula>""</formula>
    </cfRule>
  </conditionalFormatting>
  <conditionalFormatting sqref="B172">
    <cfRule type="cellIs" dxfId="0" priority="39" stopIfTrue="1" operator="equal">
      <formula>""</formula>
    </cfRule>
  </conditionalFormatting>
  <conditionalFormatting sqref="C172">
    <cfRule type="cellIs" dxfId="0" priority="40" stopIfTrue="1" operator="equal">
      <formula>""</formula>
    </cfRule>
  </conditionalFormatting>
  <conditionalFormatting sqref="B173">
    <cfRule type="cellIs" dxfId="0" priority="486" stopIfTrue="1" operator="equal">
      <formula>""</formula>
    </cfRule>
  </conditionalFormatting>
  <conditionalFormatting sqref="C173">
    <cfRule type="cellIs" dxfId="0" priority="487" stopIfTrue="1" operator="equal">
      <formula>""</formula>
    </cfRule>
  </conditionalFormatting>
  <conditionalFormatting sqref="B174">
    <cfRule type="cellIs" dxfId="0" priority="488" stopIfTrue="1" operator="equal">
      <formula>""</formula>
    </cfRule>
  </conditionalFormatting>
  <conditionalFormatting sqref="C174">
    <cfRule type="cellIs" dxfId="0" priority="489" stopIfTrue="1" operator="equal">
      <formula>""</formula>
    </cfRule>
  </conditionalFormatting>
  <conditionalFormatting sqref="B175">
    <cfRule type="cellIs" dxfId="0" priority="490" stopIfTrue="1" operator="equal">
      <formula>""</formula>
    </cfRule>
  </conditionalFormatting>
  <conditionalFormatting sqref="C175">
    <cfRule type="cellIs" dxfId="0" priority="491" stopIfTrue="1" operator="equal">
      <formula>""</formula>
    </cfRule>
  </conditionalFormatting>
  <conditionalFormatting sqref="B176">
    <cfRule type="cellIs" dxfId="0" priority="492" stopIfTrue="1" operator="equal">
      <formula>""</formula>
    </cfRule>
  </conditionalFormatting>
  <conditionalFormatting sqref="C176">
    <cfRule type="cellIs" dxfId="0" priority="493" stopIfTrue="1" operator="equal">
      <formula>""</formula>
    </cfRule>
  </conditionalFormatting>
  <conditionalFormatting sqref="B177">
    <cfRule type="cellIs" dxfId="0" priority="494" stopIfTrue="1" operator="equal">
      <formula>""</formula>
    </cfRule>
  </conditionalFormatting>
  <conditionalFormatting sqref="C177">
    <cfRule type="cellIs" dxfId="0" priority="495" stopIfTrue="1" operator="equal">
      <formula>""</formula>
    </cfRule>
  </conditionalFormatting>
  <conditionalFormatting sqref="B178">
    <cfRule type="cellIs" dxfId="0" priority="496" stopIfTrue="1" operator="equal">
      <formula>""</formula>
    </cfRule>
  </conditionalFormatting>
  <conditionalFormatting sqref="C178">
    <cfRule type="cellIs" dxfId="0" priority="497" stopIfTrue="1" operator="equal">
      <formula>""</formula>
    </cfRule>
  </conditionalFormatting>
  <conditionalFormatting sqref="B179">
    <cfRule type="cellIs" dxfId="0" priority="498" stopIfTrue="1" operator="equal">
      <formula>""</formula>
    </cfRule>
  </conditionalFormatting>
  <conditionalFormatting sqref="C179">
    <cfRule type="cellIs" dxfId="0" priority="499" stopIfTrue="1" operator="equal">
      <formula>""</formula>
    </cfRule>
  </conditionalFormatting>
  <conditionalFormatting sqref="B180">
    <cfRule type="cellIs" dxfId="0" priority="500" stopIfTrue="1" operator="equal">
      <formula>""</formula>
    </cfRule>
  </conditionalFormatting>
  <conditionalFormatting sqref="C180">
    <cfRule type="cellIs" dxfId="0" priority="501" stopIfTrue="1" operator="equal">
      <formula>""</formula>
    </cfRule>
  </conditionalFormatting>
  <conditionalFormatting sqref="B181">
    <cfRule type="cellIs" dxfId="0" priority="502" stopIfTrue="1" operator="equal">
      <formula>""</formula>
    </cfRule>
  </conditionalFormatting>
  <conditionalFormatting sqref="C181">
    <cfRule type="cellIs" dxfId="0" priority="503" stopIfTrue="1" operator="equal">
      <formula>""</formula>
    </cfRule>
  </conditionalFormatting>
  <conditionalFormatting sqref="B182">
    <cfRule type="cellIs" dxfId="0" priority="504" stopIfTrue="1" operator="equal">
      <formula>""</formula>
    </cfRule>
  </conditionalFormatting>
  <conditionalFormatting sqref="C182">
    <cfRule type="cellIs" dxfId="0" priority="505" stopIfTrue="1" operator="equal">
      <formula>""</formula>
    </cfRule>
  </conditionalFormatting>
  <conditionalFormatting sqref="B183">
    <cfRule type="cellIs" dxfId="0" priority="506" stopIfTrue="1" operator="equal">
      <formula>""</formula>
    </cfRule>
  </conditionalFormatting>
  <conditionalFormatting sqref="C183">
    <cfRule type="cellIs" dxfId="0" priority="507" stopIfTrue="1" operator="equal">
      <formula>""</formula>
    </cfRule>
  </conditionalFormatting>
  <conditionalFormatting sqref="B184">
    <cfRule type="cellIs" dxfId="0" priority="508" stopIfTrue="1" operator="equal">
      <formula>""</formula>
    </cfRule>
  </conditionalFormatting>
  <conditionalFormatting sqref="C184">
    <cfRule type="cellIs" dxfId="0" priority="509" stopIfTrue="1" operator="equal">
      <formula>""</formula>
    </cfRule>
  </conditionalFormatting>
  <conditionalFormatting sqref="B185">
    <cfRule type="cellIs" dxfId="0" priority="510" stopIfTrue="1" operator="equal">
      <formula>""</formula>
    </cfRule>
  </conditionalFormatting>
  <conditionalFormatting sqref="C185">
    <cfRule type="cellIs" dxfId="0" priority="511" stopIfTrue="1" operator="equal">
      <formula>""</formula>
    </cfRule>
  </conditionalFormatting>
  <conditionalFormatting sqref="B188">
    <cfRule type="cellIs" dxfId="0" priority="514" stopIfTrue="1" operator="equal">
      <formula>""</formula>
    </cfRule>
  </conditionalFormatting>
  <conditionalFormatting sqref="C188">
    <cfRule type="cellIs" dxfId="0" priority="515" stopIfTrue="1" operator="equal">
      <formula>""</formula>
    </cfRule>
  </conditionalFormatting>
  <conditionalFormatting sqref="B189">
    <cfRule type="cellIs" dxfId="0" priority="516" stopIfTrue="1" operator="equal">
      <formula>""</formula>
    </cfRule>
  </conditionalFormatting>
  <conditionalFormatting sqref="C189">
    <cfRule type="cellIs" dxfId="0" priority="517" stopIfTrue="1" operator="equal">
      <formula>""</formula>
    </cfRule>
  </conditionalFormatting>
  <conditionalFormatting sqref="B190">
    <cfRule type="cellIs" dxfId="0" priority="518" stopIfTrue="1" operator="equal">
      <formula>""</formula>
    </cfRule>
  </conditionalFormatting>
  <conditionalFormatting sqref="C190">
    <cfRule type="cellIs" dxfId="0" priority="519" stopIfTrue="1" operator="equal">
      <formula>""</formula>
    </cfRule>
  </conditionalFormatting>
  <conditionalFormatting sqref="B191">
    <cfRule type="cellIs" dxfId="0" priority="520" stopIfTrue="1" operator="equal">
      <formula>""</formula>
    </cfRule>
  </conditionalFormatting>
  <conditionalFormatting sqref="C191">
    <cfRule type="cellIs" dxfId="0" priority="521" stopIfTrue="1" operator="equal">
      <formula>""</formula>
    </cfRule>
  </conditionalFormatting>
  <conditionalFormatting sqref="B192">
    <cfRule type="cellIs" dxfId="0" priority="522" stopIfTrue="1" operator="equal">
      <formula>""</formula>
    </cfRule>
  </conditionalFormatting>
  <conditionalFormatting sqref="C192">
    <cfRule type="cellIs" dxfId="0" priority="523" stopIfTrue="1" operator="equal">
      <formula>""</formula>
    </cfRule>
  </conditionalFormatting>
  <conditionalFormatting sqref="B193">
    <cfRule type="cellIs" dxfId="0" priority="524" stopIfTrue="1" operator="equal">
      <formula>""</formula>
    </cfRule>
  </conditionalFormatting>
  <conditionalFormatting sqref="C193">
    <cfRule type="cellIs" dxfId="0" priority="525" stopIfTrue="1" operator="equal">
      <formula>""</formula>
    </cfRule>
  </conditionalFormatting>
  <conditionalFormatting sqref="B194">
    <cfRule type="cellIs" dxfId="0" priority="526" stopIfTrue="1" operator="equal">
      <formula>""</formula>
    </cfRule>
  </conditionalFormatting>
  <conditionalFormatting sqref="C194">
    <cfRule type="cellIs" dxfId="0" priority="527" stopIfTrue="1" operator="equal">
      <formula>""</formula>
    </cfRule>
  </conditionalFormatting>
  <conditionalFormatting sqref="B195">
    <cfRule type="cellIs" dxfId="0" priority="528" stopIfTrue="1" operator="equal">
      <formula>""</formula>
    </cfRule>
  </conditionalFormatting>
  <conditionalFormatting sqref="C195">
    <cfRule type="cellIs" dxfId="0" priority="529" stopIfTrue="1" operator="equal">
      <formula>""</formula>
    </cfRule>
  </conditionalFormatting>
  <conditionalFormatting sqref="B196">
    <cfRule type="cellIs" dxfId="0" priority="530" stopIfTrue="1" operator="equal">
      <formula>""</formula>
    </cfRule>
  </conditionalFormatting>
  <conditionalFormatting sqref="C196">
    <cfRule type="cellIs" dxfId="0" priority="531" stopIfTrue="1" operator="equal">
      <formula>""</formula>
    </cfRule>
  </conditionalFormatting>
  <conditionalFormatting sqref="B197">
    <cfRule type="cellIs" dxfId="0" priority="532" stopIfTrue="1" operator="equal">
      <formula>""</formula>
    </cfRule>
  </conditionalFormatting>
  <conditionalFormatting sqref="C197">
    <cfRule type="cellIs" dxfId="0" priority="533" stopIfTrue="1" operator="equal">
      <formula>""</formula>
    </cfRule>
  </conditionalFormatting>
  <conditionalFormatting sqref="B198">
    <cfRule type="cellIs" dxfId="0" priority="534" stopIfTrue="1" operator="equal">
      <formula>""</formula>
    </cfRule>
  </conditionalFormatting>
  <conditionalFormatting sqref="C198">
    <cfRule type="cellIs" dxfId="0" priority="535" stopIfTrue="1" operator="equal">
      <formula>""</formula>
    </cfRule>
  </conditionalFormatting>
  <conditionalFormatting sqref="B199">
    <cfRule type="cellIs" dxfId="0" priority="536" stopIfTrue="1" operator="equal">
      <formula>""</formula>
    </cfRule>
  </conditionalFormatting>
  <conditionalFormatting sqref="C199">
    <cfRule type="cellIs" dxfId="0" priority="537" stopIfTrue="1" operator="equal">
      <formula>""</formula>
    </cfRule>
  </conditionalFormatting>
  <conditionalFormatting sqref="B200">
    <cfRule type="cellIs" dxfId="0" priority="538" stopIfTrue="1" operator="equal">
      <formula>""</formula>
    </cfRule>
  </conditionalFormatting>
  <conditionalFormatting sqref="C200">
    <cfRule type="cellIs" dxfId="0" priority="539" stopIfTrue="1" operator="equal">
      <formula>""</formula>
    </cfRule>
  </conditionalFormatting>
  <conditionalFormatting sqref="B201">
    <cfRule type="cellIs" dxfId="0" priority="540" stopIfTrue="1" operator="equal">
      <formula>""</formula>
    </cfRule>
  </conditionalFormatting>
  <conditionalFormatting sqref="C201">
    <cfRule type="cellIs" dxfId="0" priority="541" stopIfTrue="1" operator="equal">
      <formula>""</formula>
    </cfRule>
  </conditionalFormatting>
  <conditionalFormatting sqref="B202">
    <cfRule type="cellIs" dxfId="0" priority="542" stopIfTrue="1" operator="equal">
      <formula>""</formula>
    </cfRule>
  </conditionalFormatting>
  <conditionalFormatting sqref="C202">
    <cfRule type="cellIs" dxfId="0" priority="543" stopIfTrue="1" operator="equal">
      <formula>""</formula>
    </cfRule>
  </conditionalFormatting>
  <conditionalFormatting sqref="B203">
    <cfRule type="cellIs" dxfId="0" priority="544" stopIfTrue="1" operator="equal">
      <formula>""</formula>
    </cfRule>
  </conditionalFormatting>
  <conditionalFormatting sqref="C203">
    <cfRule type="cellIs" dxfId="0" priority="545" stopIfTrue="1" operator="equal">
      <formula>""</formula>
    </cfRule>
  </conditionalFormatting>
  <conditionalFormatting sqref="B204">
    <cfRule type="cellIs" dxfId="0" priority="546" stopIfTrue="1" operator="equal">
      <formula>""</formula>
    </cfRule>
  </conditionalFormatting>
  <conditionalFormatting sqref="C204">
    <cfRule type="cellIs" dxfId="0" priority="547" stopIfTrue="1" operator="equal">
      <formula>""</formula>
    </cfRule>
  </conditionalFormatting>
  <conditionalFormatting sqref="B205">
    <cfRule type="cellIs" dxfId="0" priority="548" stopIfTrue="1" operator="equal">
      <formula>""</formula>
    </cfRule>
  </conditionalFormatting>
  <conditionalFormatting sqref="C205">
    <cfRule type="cellIs" dxfId="0" priority="549" stopIfTrue="1" operator="equal">
      <formula>""</formula>
    </cfRule>
  </conditionalFormatting>
  <conditionalFormatting sqref="B206">
    <cfRule type="cellIs" dxfId="0" priority="550" stopIfTrue="1" operator="equal">
      <formula>""</formula>
    </cfRule>
  </conditionalFormatting>
  <conditionalFormatting sqref="C206">
    <cfRule type="cellIs" dxfId="0" priority="551" stopIfTrue="1" operator="equal">
      <formula>""</formula>
    </cfRule>
  </conditionalFormatting>
  <conditionalFormatting sqref="B207">
    <cfRule type="cellIs" dxfId="0" priority="552" stopIfTrue="1" operator="equal">
      <formula>""</formula>
    </cfRule>
  </conditionalFormatting>
  <conditionalFormatting sqref="C207">
    <cfRule type="cellIs" dxfId="0" priority="553" stopIfTrue="1" operator="equal">
      <formula>""</formula>
    </cfRule>
  </conditionalFormatting>
  <conditionalFormatting sqref="B208">
    <cfRule type="cellIs" dxfId="0" priority="554" stopIfTrue="1" operator="equal">
      <formula>""</formula>
    </cfRule>
  </conditionalFormatting>
  <conditionalFormatting sqref="C208">
    <cfRule type="cellIs" dxfId="0" priority="555" stopIfTrue="1" operator="equal">
      <formula>""</formula>
    </cfRule>
  </conditionalFormatting>
  <conditionalFormatting sqref="B209">
    <cfRule type="cellIs" dxfId="0" priority="556" stopIfTrue="1" operator="equal">
      <formula>""</formula>
    </cfRule>
  </conditionalFormatting>
  <conditionalFormatting sqref="C209">
    <cfRule type="cellIs" dxfId="0" priority="557" stopIfTrue="1" operator="equal">
      <formula>""</formula>
    </cfRule>
  </conditionalFormatting>
  <conditionalFormatting sqref="B210">
    <cfRule type="cellIs" dxfId="0" priority="558" stopIfTrue="1" operator="equal">
      <formula>""</formula>
    </cfRule>
  </conditionalFormatting>
  <conditionalFormatting sqref="C210">
    <cfRule type="cellIs" dxfId="0" priority="559" stopIfTrue="1" operator="equal">
      <formula>""</formula>
    </cfRule>
  </conditionalFormatting>
  <conditionalFormatting sqref="B211">
    <cfRule type="cellIs" dxfId="0" priority="560" stopIfTrue="1" operator="equal">
      <formula>""</formula>
    </cfRule>
  </conditionalFormatting>
  <conditionalFormatting sqref="C211">
    <cfRule type="cellIs" dxfId="0" priority="561" stopIfTrue="1" operator="equal">
      <formula>""</formula>
    </cfRule>
  </conditionalFormatting>
  <conditionalFormatting sqref="B212">
    <cfRule type="cellIs" dxfId="0" priority="562" stopIfTrue="1" operator="equal">
      <formula>""</formula>
    </cfRule>
  </conditionalFormatting>
  <conditionalFormatting sqref="C212">
    <cfRule type="cellIs" dxfId="0" priority="563" stopIfTrue="1" operator="equal">
      <formula>""</formula>
    </cfRule>
  </conditionalFormatting>
  <conditionalFormatting sqref="B213">
    <cfRule type="cellIs" dxfId="0" priority="564" stopIfTrue="1" operator="equal">
      <formula>""</formula>
    </cfRule>
  </conditionalFormatting>
  <conditionalFormatting sqref="C213">
    <cfRule type="cellIs" dxfId="0" priority="565" stopIfTrue="1" operator="equal">
      <formula>""</formula>
    </cfRule>
  </conditionalFormatting>
  <conditionalFormatting sqref="B214">
    <cfRule type="cellIs" dxfId="0" priority="566" stopIfTrue="1" operator="equal">
      <formula>""</formula>
    </cfRule>
  </conditionalFormatting>
  <conditionalFormatting sqref="C214">
    <cfRule type="cellIs" dxfId="0" priority="567" stopIfTrue="1" operator="equal">
      <formula>""</formula>
    </cfRule>
  </conditionalFormatting>
  <conditionalFormatting sqref="B215">
    <cfRule type="cellIs" dxfId="0" priority="568" stopIfTrue="1" operator="equal">
      <formula>""</formula>
    </cfRule>
  </conditionalFormatting>
  <conditionalFormatting sqref="C215">
    <cfRule type="cellIs" dxfId="0" priority="569" stopIfTrue="1" operator="equal">
      <formula>""</formula>
    </cfRule>
  </conditionalFormatting>
  <conditionalFormatting sqref="B218">
    <cfRule type="cellIs" dxfId="0" priority="572" stopIfTrue="1" operator="equal">
      <formula>""</formula>
    </cfRule>
  </conditionalFormatting>
  <conditionalFormatting sqref="C218">
    <cfRule type="cellIs" dxfId="0" priority="573" stopIfTrue="1" operator="equal">
      <formula>""</formula>
    </cfRule>
  </conditionalFormatting>
  <conditionalFormatting sqref="B219">
    <cfRule type="cellIs" dxfId="0" priority="574" stopIfTrue="1" operator="equal">
      <formula>""</formula>
    </cfRule>
  </conditionalFormatting>
  <conditionalFormatting sqref="C219">
    <cfRule type="cellIs" dxfId="0" priority="575" stopIfTrue="1" operator="equal">
      <formula>""</formula>
    </cfRule>
  </conditionalFormatting>
  <conditionalFormatting sqref="B220">
    <cfRule type="cellIs" dxfId="0" priority="5" stopIfTrue="1" operator="equal">
      <formula>""</formula>
    </cfRule>
  </conditionalFormatting>
  <conditionalFormatting sqref="C220:D220">
    <cfRule type="cellIs" dxfId="0" priority="6" stopIfTrue="1" operator="equal">
      <formula>""</formula>
    </cfRule>
  </conditionalFormatting>
  <conditionalFormatting sqref="B221">
    <cfRule type="cellIs" dxfId="0" priority="7" stopIfTrue="1" operator="equal">
      <formula>""</formula>
    </cfRule>
  </conditionalFormatting>
  <conditionalFormatting sqref="C221:D221">
    <cfRule type="cellIs" dxfId="0" priority="8" stopIfTrue="1" operator="equal">
      <formula>""</formula>
    </cfRule>
  </conditionalFormatting>
  <conditionalFormatting sqref="B222">
    <cfRule type="cellIs" dxfId="0" priority="9" stopIfTrue="1" operator="equal">
      <formula>""</formula>
    </cfRule>
  </conditionalFormatting>
  <conditionalFormatting sqref="C222:D222">
    <cfRule type="cellIs" dxfId="0" priority="10" stopIfTrue="1" operator="equal">
      <formula>""</formula>
    </cfRule>
  </conditionalFormatting>
  <conditionalFormatting sqref="B223">
    <cfRule type="cellIs" dxfId="0" priority="11" stopIfTrue="1" operator="equal">
      <formula>""</formula>
    </cfRule>
  </conditionalFormatting>
  <conditionalFormatting sqref="C223:D223">
    <cfRule type="cellIs" dxfId="0" priority="12" stopIfTrue="1" operator="equal">
      <formula>""</formula>
    </cfRule>
  </conditionalFormatting>
  <conditionalFormatting sqref="B224">
    <cfRule type="cellIs" dxfId="0" priority="13" stopIfTrue="1" operator="equal">
      <formula>""</formula>
    </cfRule>
  </conditionalFormatting>
  <conditionalFormatting sqref="C224:D224">
    <cfRule type="cellIs" dxfId="0" priority="14" stopIfTrue="1" operator="equal">
      <formula>""</formula>
    </cfRule>
  </conditionalFormatting>
  <conditionalFormatting sqref="B225">
    <cfRule type="cellIs" dxfId="0" priority="15" stopIfTrue="1" operator="equal">
      <formula>""</formula>
    </cfRule>
  </conditionalFormatting>
  <conditionalFormatting sqref="C225:D225">
    <cfRule type="cellIs" dxfId="0" priority="16" stopIfTrue="1" operator="equal">
      <formula>""</formula>
    </cfRule>
  </conditionalFormatting>
  <conditionalFormatting sqref="B226">
    <cfRule type="cellIs" dxfId="0" priority="17" stopIfTrue="1" operator="equal">
      <formula>""</formula>
    </cfRule>
  </conditionalFormatting>
  <conditionalFormatting sqref="C226:D226">
    <cfRule type="cellIs" dxfId="0" priority="18" stopIfTrue="1" operator="equal">
      <formula>""</formula>
    </cfRule>
  </conditionalFormatting>
  <conditionalFormatting sqref="B227">
    <cfRule type="cellIs" dxfId="0" priority="19" stopIfTrue="1" operator="equal">
      <formula>""</formula>
    </cfRule>
  </conditionalFormatting>
  <conditionalFormatting sqref="C227:D227">
    <cfRule type="cellIs" dxfId="0" priority="20" stopIfTrue="1" operator="equal">
      <formula>""</formula>
    </cfRule>
  </conditionalFormatting>
  <conditionalFormatting sqref="B228">
    <cfRule type="cellIs" dxfId="0" priority="2" stopIfTrue="1" operator="equal">
      <formula>""</formula>
    </cfRule>
  </conditionalFormatting>
  <conditionalFormatting sqref="C228:D228">
    <cfRule type="cellIs" dxfId="0" priority="3" stopIfTrue="1" operator="equal">
      <formula>""</formula>
    </cfRule>
  </conditionalFormatting>
  <conditionalFormatting sqref="B229">
    <cfRule type="cellIs" dxfId="0" priority="21" stopIfTrue="1" operator="equal">
      <formula>""</formula>
    </cfRule>
  </conditionalFormatting>
  <conditionalFormatting sqref="C229:D229">
    <cfRule type="cellIs" dxfId="0" priority="22" stopIfTrue="1" operator="equal">
      <formula>""</formula>
    </cfRule>
  </conditionalFormatting>
  <conditionalFormatting sqref="B230">
    <cfRule type="cellIs" dxfId="0" priority="23" stopIfTrue="1" operator="equal">
      <formula>""</formula>
    </cfRule>
  </conditionalFormatting>
  <conditionalFormatting sqref="C230:D230">
    <cfRule type="cellIs" dxfId="0" priority="24" stopIfTrue="1" operator="equal">
      <formula>""</formula>
    </cfRule>
  </conditionalFormatting>
  <conditionalFormatting sqref="B231">
    <cfRule type="cellIs" dxfId="0" priority="25" stopIfTrue="1" operator="equal">
      <formula>""</formula>
    </cfRule>
  </conditionalFormatting>
  <conditionalFormatting sqref="C231:D231">
    <cfRule type="cellIs" dxfId="0" priority="26" stopIfTrue="1" operator="equal">
      <formula>""</formula>
    </cfRule>
  </conditionalFormatting>
  <conditionalFormatting sqref="B232">
    <cfRule type="cellIs" dxfId="0" priority="27" stopIfTrue="1" operator="equal">
      <formula>""</formula>
    </cfRule>
  </conditionalFormatting>
  <conditionalFormatting sqref="C232:D232">
    <cfRule type="cellIs" dxfId="0" priority="28" stopIfTrue="1" operator="equal">
      <formula>""</formula>
    </cfRule>
  </conditionalFormatting>
  <conditionalFormatting sqref="B236">
    <cfRule type="cellIs" dxfId="0" priority="29" stopIfTrue="1" operator="equal">
      <formula>""</formula>
    </cfRule>
  </conditionalFormatting>
  <conditionalFormatting sqref="B13:B15">
    <cfRule type="cellIs" dxfId="0" priority="68" stopIfTrue="1" operator="equal">
      <formula>""</formula>
    </cfRule>
  </conditionalFormatting>
  <conditionalFormatting sqref="B70:B71">
    <cfRule type="cellIs" dxfId="0" priority="242" stopIfTrue="1" operator="equal">
      <formula>""</formula>
    </cfRule>
  </conditionalFormatting>
  <conditionalFormatting sqref="B72:B74">
    <cfRule type="cellIs" dxfId="0" priority="245" stopIfTrue="1" operator="equal">
      <formula>""</formula>
    </cfRule>
  </conditionalFormatting>
  <conditionalFormatting sqref="B109:B110">
    <cfRule type="cellIs" dxfId="0" priority="577" stopIfTrue="1" operator="equal">
      <formula>""</formula>
    </cfRule>
  </conditionalFormatting>
  <conditionalFormatting sqref="B133:B134">
    <cfRule type="cellIs" dxfId="0" priority="411" stopIfTrue="1" operator="equal">
      <formula>""</formula>
    </cfRule>
  </conditionalFormatting>
  <conditionalFormatting sqref="B186:B187">
    <cfRule type="cellIs" dxfId="0" priority="512" stopIfTrue="1" operator="equal">
      <formula>""</formula>
    </cfRule>
  </conditionalFormatting>
  <conditionalFormatting sqref="B216:B217">
    <cfRule type="cellIs" dxfId="0" priority="570" stopIfTrue="1" operator="equal">
      <formula>""</formula>
    </cfRule>
  </conditionalFormatting>
  <conditionalFormatting sqref="B233:B235">
    <cfRule type="cellIs" dxfId="0" priority="30" stopIfTrue="1" operator="equal">
      <formula>""</formula>
    </cfRule>
  </conditionalFormatting>
  <conditionalFormatting sqref="B237:B238">
    <cfRule type="cellIs" dxfId="0" priority="31" stopIfTrue="1" operator="equal">
      <formula>""</formula>
    </cfRule>
  </conditionalFormatting>
  <conditionalFormatting sqref="C109:C110">
    <cfRule type="cellIs" dxfId="0" priority="578" stopIfTrue="1" operator="equal">
      <formula>""</formula>
    </cfRule>
  </conditionalFormatting>
  <conditionalFormatting sqref="C133:C134">
    <cfRule type="cellIs" dxfId="0" priority="412" stopIfTrue="1" operator="equal">
      <formula>""</formula>
    </cfRule>
  </conditionalFormatting>
  <conditionalFormatting sqref="C186:C187">
    <cfRule type="cellIs" dxfId="0" priority="513" stopIfTrue="1" operator="equal">
      <formula>""</formula>
    </cfRule>
  </conditionalFormatting>
  <conditionalFormatting sqref="C216:C217">
    <cfRule type="cellIs" dxfId="0" priority="571" stopIfTrue="1" operator="equal">
      <formula>""</formula>
    </cfRule>
  </conditionalFormatting>
  <conditionalFormatting sqref="A5 A8:A9 A13:A14 A17:A18 A20:A23 A25:A27 A29 A31:A33 A35:A38 A40:A41 A44:A45 A49:A50 A53:A54 A56:A59 A61:A63 A65 A67:A69 A71:A74 A76:A77 A80:A81 A85:A86 A89:A90 A92:A95 A97:A99 A101 A103:A105 A107:A110 A112:A113 A116:A117 A121:A122 A125:A126 A128:A131 A133:A135 A137 A139:A141 A143:A146 A148:A149 A152:A153 A157:A158 A161:A162 A164:A167 A169:A171 A173:A176 A182 A178:A180 A184:A189 A215:A216 A211:A212 A191 A193:A195 A197:A200 A202:A203 A206:A207 A11 A47 A83 A119 A155 A209 A218">
    <cfRule type="expression" dxfId="1" priority="42" stopIfTrue="1">
      <formula>#REF!="完成"</formula>
    </cfRule>
    <cfRule type="expression" dxfId="1" priority="43" stopIfTrue="1">
      <formula>#REF!="完成"</formula>
    </cfRule>
  </conditionalFormatting>
  <conditionalFormatting sqref="C5:D105">
    <cfRule type="cellIs" dxfId="0" priority="579" stopIfTrue="1" operator="equal">
      <formula>""</formula>
    </cfRule>
  </conditionalFormatting>
  <conditionalFormatting sqref="A6 A9:A10 A14:A15 A18:A19 A21:A22 A26:A28 A30 A33:A34 A36:A39 A42 A45:A46 A50:A51 A54:A55 A57:A58 A62:A64 A66 A69:A70 A72:A75 A78 A81:A82 A86:A87 A90:A91 A93:A94 A98:A100 A102 A105:A106 A108:A111 A114 A117:A118 A122:A123 A126:A127 A129:A130 A134:A136 A138 A141:A142 A144:A147 A150 A153:A154 A158:A159 A162:A163 A165:A166 A170:A172 A174:A175 A183 A179:A181 A216:A217 A188:A190 A192 A195:A196 A198:A201 A204 A207:A208 A212:A213 A24 A60 A96 A132 A168 A177 A186 A12 A48 A84 A120 A156 A210 A219:A238">
    <cfRule type="expression" dxfId="1" priority="45" stopIfTrue="1">
      <formula>#REF!="完成"</formula>
    </cfRule>
    <cfRule type="expression" dxfId="1" priority="46" stopIfTrue="1">
      <formula>#REF!="完成"</formula>
    </cfRule>
  </conditionalFormatting>
  <conditionalFormatting sqref="A7 A10:A11 A15:A16 A19:A20 A22:A23 A27:A29 A31 A34:A35 A37:A40 A43 A46:A47 A51:A52 A55:A56 A58:A59 A63:A65 A67 A70:A71 A73:A76 A79 A82:A83 A87:A88 A91:A92 A94:A95 A99:A101 A103 A106:A107 A109:A112 A115 A118:A119 A123:A124 A127:A128 A130:A131 A135:A137 A139 A142:A143 A145:A148 A151 A154:A155 A159:A160 A163:A164 A166:A167 A171:A173 A175:A176 A180:A182 A184 A208:A209 A213:A214 A189:A191 A193 A196:A197 A199:A202 A205 A217:A218 A25 A61 A97 A133 A169 A178 A187 A13 A49 A85 A121 A157 A211">
    <cfRule type="expression" dxfId="1" priority="48" stopIfTrue="1">
      <formula>#REF!="完成"</formula>
    </cfRule>
    <cfRule type="expression" dxfId="1" priority="49" stopIfTrue="1">
      <formula>#REF!="完成"</formula>
    </cfRule>
  </conditionalFormatting>
  <conditionalFormatting sqref="C106:D108 B149">
    <cfRule type="cellIs" dxfId="0" priority="580" stopIfTrue="1" operator="equal">
      <formula>""</formula>
    </cfRule>
  </conditionalFormatting>
  <conditionalFormatting sqref="C233:D238">
    <cfRule type="cellIs" dxfId="0" priority="32" stopIfTrue="1" operator="equal">
      <formula>""</formula>
    </cfRule>
  </conditionalFormatting>
  <dataValidations count="1">
    <dataValidation type="list" allowBlank="1" showInputMessage="1" showErrorMessage="1" sqref="E5:E238">
      <formula1>"混凝土坝,土石坝"</formula1>
    </dataValidation>
  </dataValidations>
  <pageMargins left="0.751388888888889" right="0.751388888888889" top="1" bottom="1" header="0.5" footer="0.5"/>
  <pageSetup paperSize="9" scale="42" orientation="landscape" blackAndWhite="1" horizontalDpi="600" verticalDpi="600"/>
  <headerFooter alignWithMargins="0"/>
  <rowBreaks count="1" manualBreakCount="1">
    <brk id="2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63"/>
  <sheetViews>
    <sheetView zoomScale="145" zoomScaleNormal="145" workbookViewId="0">
      <selection activeCell="D7" sqref="D7"/>
    </sheetView>
  </sheetViews>
  <sheetFormatPr defaultColWidth="9" defaultRowHeight="14.25" outlineLevelCol="6"/>
  <cols>
    <col min="2" max="2" width="14.625" customWidth="1"/>
    <col min="4" max="4" width="9" style="38"/>
    <col min="5" max="5" width="12.4916666666667" customWidth="1"/>
    <col min="6" max="6" width="15.5" style="38" customWidth="1"/>
  </cols>
  <sheetData>
    <row r="1" ht="18.75" spans="1:7">
      <c r="A1" s="39" t="s">
        <v>376</v>
      </c>
      <c r="B1" s="39"/>
      <c r="C1" s="39"/>
      <c r="D1" s="40"/>
      <c r="E1" s="39"/>
      <c r="F1" s="40"/>
      <c r="G1" s="39"/>
    </row>
    <row r="2" ht="20" customHeight="1" spans="1:7">
      <c r="A2" s="41" t="s">
        <v>2</v>
      </c>
      <c r="B2" s="41" t="s">
        <v>377</v>
      </c>
      <c r="C2" s="41" t="s">
        <v>378</v>
      </c>
      <c r="D2" s="42" t="s">
        <v>379</v>
      </c>
      <c r="E2" s="43" t="s">
        <v>380</v>
      </c>
      <c r="F2" s="42" t="s">
        <v>381</v>
      </c>
      <c r="G2" s="41" t="s">
        <v>382</v>
      </c>
    </row>
    <row r="3" spans="1:7">
      <c r="A3" s="44" t="s">
        <v>383</v>
      </c>
      <c r="B3" s="44" t="s">
        <v>368</v>
      </c>
      <c r="C3" s="44"/>
      <c r="D3" s="45"/>
      <c r="E3" s="46"/>
      <c r="F3" s="45">
        <f>F4++F5+F6+F7+F8</f>
        <v>11121.04</v>
      </c>
      <c r="G3" s="44"/>
    </row>
    <row r="4" ht="27" spans="1:7">
      <c r="A4" s="47">
        <v>1</v>
      </c>
      <c r="B4" s="47" t="s">
        <v>384</v>
      </c>
      <c r="C4" s="47" t="s">
        <v>385</v>
      </c>
      <c r="D4" s="48">
        <v>1</v>
      </c>
      <c r="E4" s="49">
        <v>3384</v>
      </c>
      <c r="F4" s="48">
        <f>D4*E4</f>
        <v>3384</v>
      </c>
      <c r="G4" s="47"/>
    </row>
    <row r="5" ht="27" spans="1:7">
      <c r="A5" s="47">
        <v>2</v>
      </c>
      <c r="B5" s="47" t="s">
        <v>386</v>
      </c>
      <c r="C5" s="47" t="s">
        <v>385</v>
      </c>
      <c r="D5" s="48">
        <v>2</v>
      </c>
      <c r="E5" s="49">
        <v>1784</v>
      </c>
      <c r="F5" s="48">
        <f>D5*E5</f>
        <v>3568</v>
      </c>
      <c r="G5" s="47"/>
    </row>
    <row r="6" ht="27" spans="1:7">
      <c r="A6" s="47">
        <v>3</v>
      </c>
      <c r="B6" s="47" t="s">
        <v>387</v>
      </c>
      <c r="C6" s="47" t="s">
        <v>385</v>
      </c>
      <c r="D6" s="48">
        <v>2</v>
      </c>
      <c r="E6" s="49">
        <v>951</v>
      </c>
      <c r="F6" s="48">
        <f>D6*E6</f>
        <v>1902</v>
      </c>
      <c r="G6" s="47"/>
    </row>
    <row r="7" ht="27" spans="1:7">
      <c r="A7" s="47">
        <v>4</v>
      </c>
      <c r="B7" s="47" t="s">
        <v>388</v>
      </c>
      <c r="C7" s="47" t="s">
        <v>389</v>
      </c>
      <c r="D7" s="48">
        <v>600</v>
      </c>
      <c r="E7" s="49">
        <v>2.53</v>
      </c>
      <c r="F7" s="48">
        <f>D7*E7</f>
        <v>1518</v>
      </c>
      <c r="G7" s="47"/>
    </row>
    <row r="8" spans="1:7">
      <c r="A8" s="47">
        <v>5</v>
      </c>
      <c r="B8" s="47" t="s">
        <v>390</v>
      </c>
      <c r="C8" s="47" t="s">
        <v>391</v>
      </c>
      <c r="D8" s="48">
        <v>12</v>
      </c>
      <c r="E8" s="49">
        <v>62.42</v>
      </c>
      <c r="F8" s="48">
        <f>D8*E8</f>
        <v>749.04</v>
      </c>
      <c r="G8" s="47"/>
    </row>
    <row r="9" s="37" customFormat="1" spans="1:7">
      <c r="A9" s="44" t="s">
        <v>392</v>
      </c>
      <c r="B9" s="44" t="s">
        <v>261</v>
      </c>
      <c r="C9" s="44"/>
      <c r="D9" s="45"/>
      <c r="E9" s="46"/>
      <c r="F9" s="45">
        <f>F10+F11+F12+F13+F14</f>
        <v>9337.04</v>
      </c>
      <c r="G9" s="44"/>
    </row>
    <row r="10" ht="27" spans="1:7">
      <c r="A10" s="47">
        <v>1</v>
      </c>
      <c r="B10" s="47" t="s">
        <v>384</v>
      </c>
      <c r="C10" s="47" t="s">
        <v>385</v>
      </c>
      <c r="D10" s="48">
        <v>1</v>
      </c>
      <c r="E10" s="49">
        <v>3384</v>
      </c>
      <c r="F10" s="48">
        <f>D10*E10</f>
        <v>3384</v>
      </c>
      <c r="G10" s="47"/>
    </row>
    <row r="11" ht="27" spans="1:7">
      <c r="A11" s="47">
        <v>1</v>
      </c>
      <c r="B11" s="47" t="s">
        <v>386</v>
      </c>
      <c r="C11" s="47" t="s">
        <v>385</v>
      </c>
      <c r="D11" s="48">
        <v>1</v>
      </c>
      <c r="E11" s="49">
        <v>1784</v>
      </c>
      <c r="F11" s="48">
        <f>D11*E11</f>
        <v>1784</v>
      </c>
      <c r="G11" s="47"/>
    </row>
    <row r="12" ht="27" spans="1:7">
      <c r="A12" s="47">
        <v>2</v>
      </c>
      <c r="B12" s="47" t="s">
        <v>387</v>
      </c>
      <c r="C12" s="47" t="s">
        <v>385</v>
      </c>
      <c r="D12" s="48">
        <v>2</v>
      </c>
      <c r="E12" s="49">
        <v>951</v>
      </c>
      <c r="F12" s="48">
        <f>D12*E12</f>
        <v>1902</v>
      </c>
      <c r="G12" s="47"/>
    </row>
    <row r="13" ht="27" spans="1:7">
      <c r="A13" s="47">
        <v>4</v>
      </c>
      <c r="B13" s="47" t="s">
        <v>388</v>
      </c>
      <c r="C13" s="47" t="s">
        <v>389</v>
      </c>
      <c r="D13" s="48">
        <v>600</v>
      </c>
      <c r="E13" s="49">
        <v>2.53</v>
      </c>
      <c r="F13" s="48">
        <f>D13*E13</f>
        <v>1518</v>
      </c>
      <c r="G13" s="47"/>
    </row>
    <row r="14" spans="1:7">
      <c r="A14" s="47">
        <v>5</v>
      </c>
      <c r="B14" s="47" t="s">
        <v>390</v>
      </c>
      <c r="C14" s="47" t="s">
        <v>391</v>
      </c>
      <c r="D14" s="48">
        <v>12</v>
      </c>
      <c r="E14" s="49">
        <v>62.42</v>
      </c>
      <c r="F14" s="48">
        <f>D14*E14</f>
        <v>749.04</v>
      </c>
      <c r="G14" s="47"/>
    </row>
    <row r="15" s="37" customFormat="1" spans="1:7">
      <c r="A15" s="44" t="s">
        <v>393</v>
      </c>
      <c r="B15" s="44" t="s">
        <v>163</v>
      </c>
      <c r="C15" s="44"/>
      <c r="D15" s="45"/>
      <c r="E15" s="46"/>
      <c r="F15" s="45">
        <f>F16+F17+F18+F19+F20</f>
        <v>10925.72</v>
      </c>
      <c r="G15" s="44"/>
    </row>
    <row r="16" ht="27" spans="1:7">
      <c r="A16" s="47">
        <v>1</v>
      </c>
      <c r="B16" s="47" t="s">
        <v>384</v>
      </c>
      <c r="C16" s="47" t="s">
        <v>385</v>
      </c>
      <c r="D16" s="48">
        <v>1</v>
      </c>
      <c r="E16" s="49">
        <v>3384</v>
      </c>
      <c r="F16" s="48">
        <f t="shared" ref="F16:F20" si="0">D16*E16</f>
        <v>3384</v>
      </c>
      <c r="G16" s="47"/>
    </row>
    <row r="17" ht="27" spans="1:7">
      <c r="A17" s="47">
        <v>1</v>
      </c>
      <c r="B17" s="47" t="s">
        <v>386</v>
      </c>
      <c r="C17" s="47" t="s">
        <v>385</v>
      </c>
      <c r="D17" s="48">
        <v>2</v>
      </c>
      <c r="E17" s="49">
        <v>1784</v>
      </c>
      <c r="F17" s="48">
        <f t="shared" si="0"/>
        <v>3568</v>
      </c>
      <c r="G17" s="47"/>
    </row>
    <row r="18" ht="27" spans="1:7">
      <c r="A18" s="47">
        <v>2</v>
      </c>
      <c r="B18" s="47" t="s">
        <v>387</v>
      </c>
      <c r="C18" s="47" t="s">
        <v>385</v>
      </c>
      <c r="D18" s="48">
        <v>1</v>
      </c>
      <c r="E18" s="49">
        <v>951</v>
      </c>
      <c r="F18" s="48">
        <f t="shared" si="0"/>
        <v>951</v>
      </c>
      <c r="G18" s="47"/>
    </row>
    <row r="19" ht="27" spans="1:7">
      <c r="A19" s="47">
        <v>3</v>
      </c>
      <c r="B19" s="47" t="s">
        <v>388</v>
      </c>
      <c r="C19" s="47" t="s">
        <v>389</v>
      </c>
      <c r="D19" s="48">
        <v>800</v>
      </c>
      <c r="E19" s="49">
        <v>2.53</v>
      </c>
      <c r="F19" s="48">
        <f t="shared" si="0"/>
        <v>2024</v>
      </c>
      <c r="G19" s="47"/>
    </row>
    <row r="20" spans="1:7">
      <c r="A20" s="47">
        <v>4</v>
      </c>
      <c r="B20" s="47" t="s">
        <v>390</v>
      </c>
      <c r="C20" s="47" t="s">
        <v>391</v>
      </c>
      <c r="D20" s="48">
        <v>16</v>
      </c>
      <c r="E20" s="49">
        <v>62.42</v>
      </c>
      <c r="F20" s="48">
        <f t="shared" si="0"/>
        <v>998.72</v>
      </c>
      <c r="G20" s="47"/>
    </row>
    <row r="21" s="37" customFormat="1" spans="1:7">
      <c r="A21" s="44" t="s">
        <v>394</v>
      </c>
      <c r="B21" s="44" t="s">
        <v>138</v>
      </c>
      <c r="C21" s="44"/>
      <c r="D21" s="45"/>
      <c r="E21" s="46"/>
      <c r="F21" s="45">
        <f>F22+F23+F24+F25+F26</f>
        <v>7252.52</v>
      </c>
      <c r="G21" s="44"/>
    </row>
    <row r="22" ht="27" spans="1:7">
      <c r="A22" s="47">
        <v>1</v>
      </c>
      <c r="B22" s="47" t="s">
        <v>384</v>
      </c>
      <c r="C22" s="47" t="s">
        <v>385</v>
      </c>
      <c r="D22" s="48">
        <v>1</v>
      </c>
      <c r="E22" s="49">
        <v>3384</v>
      </c>
      <c r="F22" s="48">
        <f t="shared" ref="F22:F26" si="1">D22*E22</f>
        <v>3384</v>
      </c>
      <c r="G22" s="47"/>
    </row>
    <row r="23" ht="27" spans="1:7">
      <c r="A23" s="47">
        <v>1</v>
      </c>
      <c r="B23" s="47" t="s">
        <v>386</v>
      </c>
      <c r="C23" s="47" t="s">
        <v>385</v>
      </c>
      <c r="D23" s="48">
        <v>1</v>
      </c>
      <c r="E23" s="49">
        <v>1784</v>
      </c>
      <c r="F23" s="48">
        <f t="shared" si="1"/>
        <v>1784</v>
      </c>
      <c r="G23" s="47"/>
    </row>
    <row r="24" ht="27" spans="1:7">
      <c r="A24" s="47">
        <v>2</v>
      </c>
      <c r="B24" s="47" t="s">
        <v>387</v>
      </c>
      <c r="C24" s="47" t="s">
        <v>385</v>
      </c>
      <c r="D24" s="48">
        <v>1</v>
      </c>
      <c r="E24" s="49">
        <v>951</v>
      </c>
      <c r="F24" s="48">
        <f t="shared" si="1"/>
        <v>951</v>
      </c>
      <c r="G24" s="47"/>
    </row>
    <row r="25" ht="27" spans="1:7">
      <c r="A25" s="47">
        <v>3</v>
      </c>
      <c r="B25" s="47" t="s">
        <v>388</v>
      </c>
      <c r="C25" s="47" t="s">
        <v>389</v>
      </c>
      <c r="D25" s="48">
        <v>300</v>
      </c>
      <c r="E25" s="49">
        <v>2.53</v>
      </c>
      <c r="F25" s="48">
        <f t="shared" si="1"/>
        <v>759</v>
      </c>
      <c r="G25" s="47"/>
    </row>
    <row r="26" spans="1:7">
      <c r="A26" s="47">
        <v>4</v>
      </c>
      <c r="B26" s="47" t="s">
        <v>390</v>
      </c>
      <c r="C26" s="47" t="s">
        <v>391</v>
      </c>
      <c r="D26" s="48">
        <v>6</v>
      </c>
      <c r="E26" s="49">
        <v>62.42</v>
      </c>
      <c r="F26" s="48">
        <f t="shared" si="1"/>
        <v>374.52</v>
      </c>
      <c r="G26" s="47"/>
    </row>
    <row r="27" s="37" customFormat="1" spans="1:7">
      <c r="A27" s="44" t="s">
        <v>395</v>
      </c>
      <c r="B27" s="44" t="s">
        <v>356</v>
      </c>
      <c r="C27" s="44"/>
      <c r="D27" s="45"/>
      <c r="E27" s="46"/>
      <c r="F27" s="45">
        <f>F28+F29+F30+F31+F32</f>
        <v>12527.2</v>
      </c>
      <c r="G27" s="44"/>
    </row>
    <row r="28" ht="27" spans="1:7">
      <c r="A28" s="47">
        <v>1</v>
      </c>
      <c r="B28" s="47" t="s">
        <v>384</v>
      </c>
      <c r="C28" s="47" t="s">
        <v>385</v>
      </c>
      <c r="D28" s="48">
        <v>1</v>
      </c>
      <c r="E28" s="49">
        <v>3384</v>
      </c>
      <c r="F28" s="48">
        <f t="shared" ref="F28:F32" si="2">D28*E28</f>
        <v>3384</v>
      </c>
      <c r="G28" s="47"/>
    </row>
    <row r="29" ht="27" spans="1:7">
      <c r="A29" s="47">
        <v>1</v>
      </c>
      <c r="B29" s="47" t="s">
        <v>386</v>
      </c>
      <c r="C29" s="47" t="s">
        <v>385</v>
      </c>
      <c r="D29" s="48">
        <v>3</v>
      </c>
      <c r="E29" s="49">
        <v>1784</v>
      </c>
      <c r="F29" s="48">
        <f t="shared" si="2"/>
        <v>5352</v>
      </c>
      <c r="G29" s="47"/>
    </row>
    <row r="30" ht="27" spans="1:7">
      <c r="A30" s="47">
        <v>2</v>
      </c>
      <c r="B30" s="47" t="s">
        <v>387</v>
      </c>
      <c r="C30" s="47" t="s">
        <v>385</v>
      </c>
      <c r="D30" s="48">
        <v>2</v>
      </c>
      <c r="E30" s="49">
        <v>951</v>
      </c>
      <c r="F30" s="48">
        <f t="shared" si="2"/>
        <v>1902</v>
      </c>
      <c r="G30" s="47"/>
    </row>
    <row r="31" ht="27" spans="1:7">
      <c r="A31" s="47">
        <v>3</v>
      </c>
      <c r="B31" s="47" t="s">
        <v>388</v>
      </c>
      <c r="C31" s="47" t="s">
        <v>389</v>
      </c>
      <c r="D31" s="48">
        <v>500</v>
      </c>
      <c r="E31" s="49">
        <v>2.53</v>
      </c>
      <c r="F31" s="48">
        <f t="shared" si="2"/>
        <v>1265</v>
      </c>
      <c r="G31" s="47"/>
    </row>
    <row r="32" spans="1:7">
      <c r="A32" s="47">
        <v>4</v>
      </c>
      <c r="B32" s="47" t="s">
        <v>390</v>
      </c>
      <c r="C32" s="47" t="s">
        <v>391</v>
      </c>
      <c r="D32" s="48">
        <v>10</v>
      </c>
      <c r="E32" s="49">
        <v>62.42</v>
      </c>
      <c r="F32" s="48">
        <f t="shared" si="2"/>
        <v>624.2</v>
      </c>
      <c r="G32" s="47"/>
    </row>
    <row r="33" s="37" customFormat="1" spans="1:7">
      <c r="A33" s="44" t="s">
        <v>396</v>
      </c>
      <c r="B33" s="44" t="s">
        <v>363</v>
      </c>
      <c r="C33" s="44"/>
      <c r="D33" s="45"/>
      <c r="E33" s="46"/>
      <c r="F33" s="45">
        <f>F34+F35+F36+F37+F38</f>
        <v>11604.08</v>
      </c>
      <c r="G33" s="44"/>
    </row>
    <row r="34" ht="27" spans="1:7">
      <c r="A34" s="47">
        <v>1</v>
      </c>
      <c r="B34" s="47" t="s">
        <v>384</v>
      </c>
      <c r="C34" s="47" t="s">
        <v>385</v>
      </c>
      <c r="D34" s="48">
        <v>1</v>
      </c>
      <c r="E34" s="49">
        <v>3384</v>
      </c>
      <c r="F34" s="48">
        <f t="shared" ref="F34:F38" si="3">D34*E34</f>
        <v>3384</v>
      </c>
      <c r="G34" s="47"/>
    </row>
    <row r="35" ht="27" spans="1:7">
      <c r="A35" s="47">
        <v>1</v>
      </c>
      <c r="B35" s="47" t="s">
        <v>386</v>
      </c>
      <c r="C35" s="47" t="s">
        <v>385</v>
      </c>
      <c r="D35" s="48">
        <v>1</v>
      </c>
      <c r="E35" s="49">
        <v>1784</v>
      </c>
      <c r="F35" s="48">
        <f t="shared" si="3"/>
        <v>1784</v>
      </c>
      <c r="G35" s="47"/>
    </row>
    <row r="36" ht="27" spans="1:7">
      <c r="A36" s="47">
        <v>2</v>
      </c>
      <c r="B36" s="47" t="s">
        <v>387</v>
      </c>
      <c r="C36" s="47" t="s">
        <v>385</v>
      </c>
      <c r="D36" s="48">
        <v>2</v>
      </c>
      <c r="E36" s="49">
        <v>951</v>
      </c>
      <c r="F36" s="48">
        <f t="shared" si="3"/>
        <v>1902</v>
      </c>
      <c r="G36" s="47"/>
    </row>
    <row r="37" ht="27" spans="1:7">
      <c r="A37" s="47">
        <v>3</v>
      </c>
      <c r="B37" s="47" t="s">
        <v>388</v>
      </c>
      <c r="C37" s="47" t="s">
        <v>389</v>
      </c>
      <c r="D37" s="48">
        <v>1200</v>
      </c>
      <c r="E37" s="49">
        <v>2.53</v>
      </c>
      <c r="F37" s="48">
        <f t="shared" si="3"/>
        <v>3036</v>
      </c>
      <c r="G37" s="47"/>
    </row>
    <row r="38" spans="1:7">
      <c r="A38" s="47">
        <v>4</v>
      </c>
      <c r="B38" s="47" t="s">
        <v>390</v>
      </c>
      <c r="C38" s="47" t="s">
        <v>391</v>
      </c>
      <c r="D38" s="48">
        <v>24</v>
      </c>
      <c r="E38" s="49">
        <v>62.42</v>
      </c>
      <c r="F38" s="48">
        <f t="shared" si="3"/>
        <v>1498.08</v>
      </c>
      <c r="G38" s="47"/>
    </row>
    <row r="39" s="37" customFormat="1" spans="1:7">
      <c r="A39" s="44" t="s">
        <v>397</v>
      </c>
      <c r="B39" s="44" t="s">
        <v>149</v>
      </c>
      <c r="C39" s="44"/>
      <c r="D39" s="45"/>
      <c r="E39" s="46"/>
      <c r="F39" s="45">
        <f>F40+F41+F42+F43+F44</f>
        <v>9793.62</v>
      </c>
      <c r="G39" s="44"/>
    </row>
    <row r="40" ht="27" spans="1:7">
      <c r="A40" s="47">
        <v>1</v>
      </c>
      <c r="B40" s="47" t="s">
        <v>384</v>
      </c>
      <c r="C40" s="47" t="s">
        <v>385</v>
      </c>
      <c r="D40" s="48">
        <v>1</v>
      </c>
      <c r="E40" s="49">
        <v>3384</v>
      </c>
      <c r="F40" s="48">
        <f t="shared" ref="F40:F44" si="4">D40*E40</f>
        <v>3384</v>
      </c>
      <c r="G40" s="47"/>
    </row>
    <row r="41" ht="27" spans="1:7">
      <c r="A41" s="47">
        <v>1</v>
      </c>
      <c r="B41" s="47" t="s">
        <v>386</v>
      </c>
      <c r="C41" s="47" t="s">
        <v>385</v>
      </c>
      <c r="D41" s="48">
        <v>3</v>
      </c>
      <c r="E41" s="49">
        <v>1784</v>
      </c>
      <c r="F41" s="48">
        <f t="shared" si="4"/>
        <v>5352</v>
      </c>
      <c r="G41" s="47"/>
    </row>
    <row r="42" ht="27" spans="1:7">
      <c r="A42" s="47">
        <v>2</v>
      </c>
      <c r="B42" s="47" t="s">
        <v>387</v>
      </c>
      <c r="C42" s="47" t="s">
        <v>385</v>
      </c>
      <c r="D42" s="48">
        <v>0</v>
      </c>
      <c r="E42" s="49">
        <v>951</v>
      </c>
      <c r="F42" s="48">
        <f t="shared" si="4"/>
        <v>0</v>
      </c>
      <c r="G42" s="47"/>
    </row>
    <row r="43" ht="27" spans="1:7">
      <c r="A43" s="47">
        <v>3</v>
      </c>
      <c r="B43" s="47" t="s">
        <v>388</v>
      </c>
      <c r="C43" s="47" t="s">
        <v>389</v>
      </c>
      <c r="D43" s="48">
        <v>270</v>
      </c>
      <c r="E43" s="49">
        <v>2.53</v>
      </c>
      <c r="F43" s="48">
        <f t="shared" si="4"/>
        <v>683.1</v>
      </c>
      <c r="G43" s="47"/>
    </row>
    <row r="44" spans="1:7">
      <c r="A44" s="47">
        <v>4</v>
      </c>
      <c r="B44" s="47" t="s">
        <v>390</v>
      </c>
      <c r="C44" s="47" t="s">
        <v>391</v>
      </c>
      <c r="D44" s="48">
        <v>6</v>
      </c>
      <c r="E44" s="49">
        <v>62.42</v>
      </c>
      <c r="F44" s="48">
        <f t="shared" si="4"/>
        <v>374.52</v>
      </c>
      <c r="G44" s="47"/>
    </row>
    <row r="45" s="37" customFormat="1" spans="1:7">
      <c r="A45" s="44" t="s">
        <v>398</v>
      </c>
      <c r="B45" s="44" t="s">
        <v>153</v>
      </c>
      <c r="C45" s="44"/>
      <c r="D45" s="45"/>
      <c r="E45" s="46"/>
      <c r="F45" s="45">
        <f>F46+F47+F48+F49+F50</f>
        <v>9210.54</v>
      </c>
      <c r="G45" s="44"/>
    </row>
    <row r="46" ht="27" spans="1:7">
      <c r="A46" s="47">
        <v>1</v>
      </c>
      <c r="B46" s="47" t="s">
        <v>384</v>
      </c>
      <c r="C46" s="47" t="s">
        <v>385</v>
      </c>
      <c r="D46" s="48">
        <v>1</v>
      </c>
      <c r="E46" s="49">
        <v>3384</v>
      </c>
      <c r="F46" s="48">
        <f t="shared" ref="F46:F50" si="5">D46*E46</f>
        <v>3384</v>
      </c>
      <c r="G46" s="47"/>
    </row>
    <row r="47" ht="27" spans="1:7">
      <c r="A47" s="47">
        <v>1</v>
      </c>
      <c r="B47" s="47" t="s">
        <v>386</v>
      </c>
      <c r="C47" s="47" t="s">
        <v>385</v>
      </c>
      <c r="D47" s="48">
        <v>1</v>
      </c>
      <c r="E47" s="49">
        <v>1784</v>
      </c>
      <c r="F47" s="48">
        <f t="shared" si="5"/>
        <v>1784</v>
      </c>
      <c r="G47" s="47"/>
    </row>
    <row r="48" ht="27" spans="1:7">
      <c r="A48" s="47">
        <v>2</v>
      </c>
      <c r="B48" s="47" t="s">
        <v>387</v>
      </c>
      <c r="C48" s="47" t="s">
        <v>385</v>
      </c>
      <c r="D48" s="48">
        <v>2</v>
      </c>
      <c r="E48" s="49">
        <v>951</v>
      </c>
      <c r="F48" s="48">
        <f t="shared" si="5"/>
        <v>1902</v>
      </c>
      <c r="G48" s="47"/>
    </row>
    <row r="49" ht="27" spans="1:7">
      <c r="A49" s="47">
        <v>3</v>
      </c>
      <c r="B49" s="47" t="s">
        <v>388</v>
      </c>
      <c r="C49" s="47" t="s">
        <v>389</v>
      </c>
      <c r="D49" s="48">
        <v>550</v>
      </c>
      <c r="E49" s="49">
        <v>2.53</v>
      </c>
      <c r="F49" s="48">
        <f t="shared" si="5"/>
        <v>1391.5</v>
      </c>
      <c r="G49" s="47"/>
    </row>
    <row r="50" spans="1:7">
      <c r="A50" s="47">
        <v>4</v>
      </c>
      <c r="B50" s="47" t="s">
        <v>390</v>
      </c>
      <c r="C50" s="47" t="s">
        <v>391</v>
      </c>
      <c r="D50" s="48">
        <v>12</v>
      </c>
      <c r="E50" s="49">
        <v>62.42</v>
      </c>
      <c r="F50" s="48">
        <f t="shared" si="5"/>
        <v>749.04</v>
      </c>
      <c r="G50" s="47"/>
    </row>
    <row r="51" s="37" customFormat="1" spans="1:7">
      <c r="A51" s="44" t="s">
        <v>399</v>
      </c>
      <c r="B51" s="44" t="s">
        <v>112</v>
      </c>
      <c r="C51" s="44"/>
      <c r="D51" s="45"/>
      <c r="E51" s="46"/>
      <c r="F51" s="45">
        <f>F52+F53+F54+F55+F56</f>
        <v>7881.7</v>
      </c>
      <c r="G51" s="44"/>
    </row>
    <row r="52" ht="27" spans="1:7">
      <c r="A52" s="47">
        <v>1</v>
      </c>
      <c r="B52" s="47" t="s">
        <v>384</v>
      </c>
      <c r="C52" s="47" t="s">
        <v>385</v>
      </c>
      <c r="D52" s="48">
        <v>1</v>
      </c>
      <c r="E52" s="49">
        <v>3384</v>
      </c>
      <c r="F52" s="48">
        <f t="shared" ref="F52:F56" si="6">D52*E52</f>
        <v>3384</v>
      </c>
      <c r="G52" s="47"/>
    </row>
    <row r="53" ht="27" spans="1:7">
      <c r="A53" s="47">
        <v>1</v>
      </c>
      <c r="B53" s="47" t="s">
        <v>386</v>
      </c>
      <c r="C53" s="47" t="s">
        <v>385</v>
      </c>
      <c r="D53" s="48">
        <v>1</v>
      </c>
      <c r="E53" s="49">
        <v>1784</v>
      </c>
      <c r="F53" s="48">
        <f t="shared" si="6"/>
        <v>1784</v>
      </c>
      <c r="G53" s="47"/>
    </row>
    <row r="54" ht="27" spans="1:7">
      <c r="A54" s="47">
        <v>2</v>
      </c>
      <c r="B54" s="47" t="s">
        <v>387</v>
      </c>
      <c r="C54" s="47" t="s">
        <v>385</v>
      </c>
      <c r="D54" s="48">
        <v>1</v>
      </c>
      <c r="E54" s="49">
        <v>951</v>
      </c>
      <c r="F54" s="48">
        <f t="shared" si="6"/>
        <v>951</v>
      </c>
      <c r="G54" s="47"/>
    </row>
    <row r="55" ht="27" spans="1:7">
      <c r="A55" s="47">
        <v>3</v>
      </c>
      <c r="B55" s="47" t="s">
        <v>388</v>
      </c>
      <c r="C55" s="47" t="s">
        <v>389</v>
      </c>
      <c r="D55" s="48">
        <v>450</v>
      </c>
      <c r="E55" s="49">
        <v>2.53</v>
      </c>
      <c r="F55" s="48">
        <f t="shared" si="6"/>
        <v>1138.5</v>
      </c>
      <c r="G55" s="47"/>
    </row>
    <row r="56" spans="1:7">
      <c r="A56" s="47">
        <v>4</v>
      </c>
      <c r="B56" s="47" t="s">
        <v>390</v>
      </c>
      <c r="C56" s="47" t="s">
        <v>391</v>
      </c>
      <c r="D56" s="48">
        <v>10</v>
      </c>
      <c r="E56" s="49">
        <v>62.42</v>
      </c>
      <c r="F56" s="48">
        <f t="shared" si="6"/>
        <v>624.2</v>
      </c>
      <c r="G56" s="47"/>
    </row>
    <row r="57" s="37" customFormat="1" spans="1:7">
      <c r="A57" s="44" t="s">
        <v>400</v>
      </c>
      <c r="B57" s="44" t="s">
        <v>81</v>
      </c>
      <c r="C57" s="44"/>
      <c r="D57" s="45"/>
      <c r="E57" s="46"/>
      <c r="F57" s="45">
        <f>F58+F59+F60+F61+F62</f>
        <v>10346.385</v>
      </c>
      <c r="G57" s="44"/>
    </row>
    <row r="58" ht="27" spans="1:7">
      <c r="A58" s="47">
        <v>1</v>
      </c>
      <c r="B58" s="47" t="s">
        <v>384</v>
      </c>
      <c r="C58" s="47" t="s">
        <v>385</v>
      </c>
      <c r="D58" s="48">
        <v>1</v>
      </c>
      <c r="E58" s="49">
        <v>3384</v>
      </c>
      <c r="F58" s="48">
        <f t="shared" ref="F58:F62" si="7">D58*E58</f>
        <v>3384</v>
      </c>
      <c r="G58" s="47"/>
    </row>
    <row r="59" ht="27" spans="1:7">
      <c r="A59" s="47">
        <v>1</v>
      </c>
      <c r="B59" s="47" t="s">
        <v>386</v>
      </c>
      <c r="C59" s="47" t="s">
        <v>385</v>
      </c>
      <c r="D59" s="48">
        <v>2</v>
      </c>
      <c r="E59" s="49">
        <v>1784</v>
      </c>
      <c r="F59" s="48">
        <f t="shared" si="7"/>
        <v>3568</v>
      </c>
      <c r="G59" s="47"/>
    </row>
    <row r="60" ht="27" spans="1:7">
      <c r="A60" s="47">
        <v>2</v>
      </c>
      <c r="B60" s="47" t="s">
        <v>387</v>
      </c>
      <c r="C60" s="47" t="s">
        <v>385</v>
      </c>
      <c r="D60" s="48">
        <v>2</v>
      </c>
      <c r="E60" s="49">
        <v>951</v>
      </c>
      <c r="F60" s="48">
        <f t="shared" si="7"/>
        <v>1902</v>
      </c>
      <c r="G60" s="47"/>
    </row>
    <row r="61" ht="27" spans="1:7">
      <c r="A61" s="47">
        <v>3</v>
      </c>
      <c r="B61" s="47" t="s">
        <v>388</v>
      </c>
      <c r="C61" s="47" t="s">
        <v>389</v>
      </c>
      <c r="D61" s="48">
        <v>392.5</v>
      </c>
      <c r="E61" s="49">
        <v>2.53</v>
      </c>
      <c r="F61" s="48">
        <f t="shared" si="7"/>
        <v>993.025</v>
      </c>
      <c r="G61" s="47"/>
    </row>
    <row r="62" spans="1:7">
      <c r="A62" s="47">
        <v>4</v>
      </c>
      <c r="B62" s="47" t="s">
        <v>390</v>
      </c>
      <c r="C62" s="47" t="s">
        <v>391</v>
      </c>
      <c r="D62" s="48">
        <v>8</v>
      </c>
      <c r="E62" s="49">
        <v>62.42</v>
      </c>
      <c r="F62" s="48">
        <f t="shared" si="7"/>
        <v>499.36</v>
      </c>
      <c r="G62" s="47"/>
    </row>
    <row r="63" spans="1:7">
      <c r="A63" s="50" t="s">
        <v>14</v>
      </c>
      <c r="B63" s="50"/>
      <c r="C63" s="51"/>
      <c r="D63" s="52"/>
      <c r="E63" s="51"/>
      <c r="F63" s="53">
        <f>F57+F51+F45+F39+F33+F27+F21+F15+F9+F3</f>
        <v>99999.845</v>
      </c>
      <c r="G63" s="51"/>
    </row>
  </sheetData>
  <mergeCells count="2">
    <mergeCell ref="A1:G1"/>
    <mergeCell ref="A63:B63"/>
  </mergeCells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Y223"/>
  <sheetViews>
    <sheetView view="pageBreakPreview" zoomScaleNormal="100" topLeftCell="I128" workbookViewId="0">
      <selection activeCell="A224" sqref="$A224:$XFD263"/>
    </sheetView>
  </sheetViews>
  <sheetFormatPr defaultColWidth="9" defaultRowHeight="13.5" customHeight="1"/>
  <cols>
    <col min="1" max="1" width="4" style="25" customWidth="1"/>
    <col min="2" max="2" width="20.1916666666667" style="25" customWidth="1"/>
    <col min="3" max="3" width="8.125" style="25" customWidth="1"/>
    <col min="4" max="4" width="7.875" style="25" customWidth="1"/>
    <col min="5" max="5" width="6.5" style="27" customWidth="1"/>
    <col min="6" max="6" width="8.125" style="27" customWidth="1"/>
    <col min="7" max="7" width="9.75" style="25" customWidth="1"/>
    <col min="8" max="8" width="7.25" style="25" customWidth="1"/>
    <col min="9" max="9" width="8" style="25" customWidth="1"/>
    <col min="10" max="10" width="9.125" style="25" customWidth="1"/>
    <col min="11" max="11" width="14.125" style="25" customWidth="1"/>
    <col min="12" max="12" width="11.875" style="25" customWidth="1"/>
    <col min="13" max="13" width="12.75" style="25" customWidth="1"/>
    <col min="14" max="14" width="18.375" style="25" customWidth="1"/>
    <col min="15" max="15" width="17.375" style="25" customWidth="1"/>
    <col min="16" max="16" width="19.125" style="25" customWidth="1"/>
    <col min="17" max="17" width="17.375" style="25" customWidth="1"/>
    <col min="18" max="18" width="13.5" style="25" customWidth="1"/>
    <col min="19" max="19" width="18.75" style="25" customWidth="1"/>
    <col min="20" max="20" width="13.5" style="25" customWidth="1"/>
    <col min="21" max="21" width="9.5" style="25" customWidth="1"/>
    <col min="22" max="22" width="11" style="25" customWidth="1"/>
    <col min="23" max="23" width="16.75" style="25" customWidth="1"/>
    <col min="24" max="25" width="11.125" style="25"/>
    <col min="26" max="16384" width="9" style="25"/>
  </cols>
  <sheetData>
    <row r="1" s="25" customFormat="1" ht="30" customHeight="1" spans="1:24">
      <c r="A1" s="28" t="s">
        <v>401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="25" customFormat="1" ht="18" customHeight="1" spans="1:24">
      <c r="A2" s="8" t="s">
        <v>2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402</v>
      </c>
      <c r="G2" s="8" t="s">
        <v>403</v>
      </c>
      <c r="H2" s="29" t="s">
        <v>404</v>
      </c>
      <c r="I2" s="8" t="s">
        <v>405</v>
      </c>
      <c r="J2" s="29" t="s">
        <v>406</v>
      </c>
      <c r="K2" s="8" t="s">
        <v>407</v>
      </c>
      <c r="L2" s="8" t="s">
        <v>408</v>
      </c>
      <c r="M2" s="8" t="s">
        <v>409</v>
      </c>
      <c r="N2" s="8" t="s">
        <v>410</v>
      </c>
      <c r="O2" s="9" t="s">
        <v>411</v>
      </c>
      <c r="P2" s="9"/>
      <c r="Q2" s="9"/>
      <c r="R2" s="9"/>
      <c r="S2" s="9"/>
      <c r="T2" s="9"/>
      <c r="U2" s="9"/>
      <c r="V2" s="9"/>
      <c r="W2" s="9"/>
      <c r="X2" s="9"/>
    </row>
    <row r="3" s="25" customFormat="1" ht="19.5" customHeight="1" spans="1:24">
      <c r="A3" s="8"/>
      <c r="B3" s="8"/>
      <c r="C3" s="8"/>
      <c r="D3" s="8"/>
      <c r="E3" s="8"/>
      <c r="F3" s="8"/>
      <c r="G3" s="8"/>
      <c r="H3" s="30"/>
      <c r="I3" s="8"/>
      <c r="J3" s="30"/>
      <c r="K3" s="8"/>
      <c r="L3" s="8"/>
      <c r="M3" s="8"/>
      <c r="N3" s="8"/>
      <c r="O3" s="11" t="s">
        <v>412</v>
      </c>
      <c r="P3" s="11" t="s">
        <v>413</v>
      </c>
      <c r="Q3" s="11" t="s">
        <v>414</v>
      </c>
      <c r="R3" s="22" t="s">
        <v>415</v>
      </c>
      <c r="S3" s="23" t="s">
        <v>416</v>
      </c>
      <c r="T3" s="23" t="s">
        <v>417</v>
      </c>
      <c r="U3" s="22" t="s">
        <v>418</v>
      </c>
      <c r="V3" s="22" t="s">
        <v>419</v>
      </c>
      <c r="W3" s="22" t="s">
        <v>420</v>
      </c>
      <c r="X3" s="22" t="s">
        <v>14</v>
      </c>
    </row>
    <row r="4" s="25" customFormat="1" ht="23" customHeight="1" spans="1:24">
      <c r="A4" s="9"/>
      <c r="B4" s="9"/>
      <c r="C4" s="9"/>
      <c r="D4" s="9"/>
      <c r="E4" s="8"/>
      <c r="F4" s="9"/>
      <c r="G4" s="9"/>
      <c r="H4" s="31"/>
      <c r="I4" s="8"/>
      <c r="J4" s="31"/>
      <c r="K4" s="8"/>
      <c r="L4" s="9"/>
      <c r="M4" s="9"/>
      <c r="N4" s="8"/>
      <c r="O4" s="9">
        <v>1.1</v>
      </c>
      <c r="P4" s="9">
        <v>2.1</v>
      </c>
      <c r="Q4" s="9">
        <v>3.1</v>
      </c>
      <c r="R4" s="22"/>
      <c r="S4" s="23"/>
      <c r="T4" s="23"/>
      <c r="U4" s="22"/>
      <c r="V4" s="22"/>
      <c r="W4" s="22"/>
      <c r="X4" s="22"/>
    </row>
    <row r="5" s="26" customFormat="1" customHeight="1" spans="1:24">
      <c r="A5" s="10">
        <v>1</v>
      </c>
      <c r="B5" s="11" t="s">
        <v>21</v>
      </c>
      <c r="C5" s="11" t="s">
        <v>22</v>
      </c>
      <c r="D5" s="11" t="s">
        <v>23</v>
      </c>
      <c r="E5" s="11" t="s">
        <v>24</v>
      </c>
      <c r="F5" s="11">
        <v>17.4</v>
      </c>
      <c r="G5" s="13">
        <v>45</v>
      </c>
      <c r="H5" s="14">
        <f>1+(F5-9)/9</f>
        <v>1.93333333333333</v>
      </c>
      <c r="I5" s="17">
        <f>1+(G5-80)/8/10</f>
        <v>0.5625</v>
      </c>
      <c r="J5" s="33">
        <v>1</v>
      </c>
      <c r="K5" s="17">
        <f t="shared" ref="K5:K68" si="0">H5*I5*J5</f>
        <v>1.0875</v>
      </c>
      <c r="L5" s="17">
        <f>SQRT(17.4*17.4+34.8*34.8)*45/2</f>
        <v>875.420613191168</v>
      </c>
      <c r="M5" s="11">
        <v>2.16</v>
      </c>
      <c r="N5" s="18">
        <f t="shared" ref="N5:N68" si="1">IF(OR(M5&gt;7),1,IF(OR(M5&gt;5),2,IF(OR(M5&gt;3),3,IF(OR(M5&gt;1),4,5))))</f>
        <v>4</v>
      </c>
      <c r="O5" s="19">
        <f t="shared" ref="O5:O68" si="2">CHOOSE(N5,8630,7495,6057,4669,3686)*$K5</f>
        <v>5077.5375</v>
      </c>
      <c r="P5" s="19">
        <f t="shared" ref="P5:P68" si="3">CHOOSE(N5,2261,1756,1482,944,624)*J5</f>
        <v>944</v>
      </c>
      <c r="Q5" s="19">
        <f t="shared" ref="Q5:Q68" si="4">CHOOSE(N5,288,230,173,115,58)</f>
        <v>115</v>
      </c>
      <c r="R5" s="19">
        <f t="shared" ref="R5:R68" si="5">L5*3.41072</f>
        <v>2985.81459382338</v>
      </c>
      <c r="S5" s="19">
        <f t="shared" ref="S5:S68" si="6">100000*F5*G5/2000*0.01</f>
        <v>391.5</v>
      </c>
      <c r="T5" s="19">
        <f t="shared" ref="T5:T68" si="7">6.25*40</f>
        <v>250</v>
      </c>
      <c r="U5" s="19">
        <f t="shared" ref="U5:U68" si="8">(O5+P5+Q5+R5+S5+T5)*0.045</f>
        <v>439.373344222052</v>
      </c>
      <c r="V5" s="19">
        <f t="shared" ref="V5:V68" si="9">(O5+P5+Q5+R5+S5+T5+U5)*0.09</f>
        <v>918.290289424089</v>
      </c>
      <c r="W5" s="19">
        <f t="shared" ref="W5:W68" si="10">(O5+P5+Q5+R5+S5+T5+U5+V5)*0.0045</f>
        <v>50.0468207736128</v>
      </c>
      <c r="X5" s="19">
        <f t="shared" ref="X5:X68" si="11">SUM(O5:W5)</f>
        <v>11171.5625482431</v>
      </c>
    </row>
    <row r="6" s="26" customFormat="1" customHeight="1" spans="1:24">
      <c r="A6" s="10">
        <v>2</v>
      </c>
      <c r="B6" s="11" t="s">
        <v>25</v>
      </c>
      <c r="C6" s="11" t="s">
        <v>22</v>
      </c>
      <c r="D6" s="11" t="s">
        <v>26</v>
      </c>
      <c r="E6" s="11" t="s">
        <v>24</v>
      </c>
      <c r="F6" s="11">
        <v>7.3</v>
      </c>
      <c r="G6" s="13">
        <v>56.3</v>
      </c>
      <c r="H6" s="14">
        <f t="shared" ref="H6:H8" si="12">1+(F6-8)/8</f>
        <v>0.9125</v>
      </c>
      <c r="I6" s="17">
        <f t="shared" ref="I6:I8" si="13">1+(G6-70)/7/10</f>
        <v>0.804285714285714</v>
      </c>
      <c r="J6" s="33">
        <v>1</v>
      </c>
      <c r="K6" s="17">
        <f t="shared" si="0"/>
        <v>0.733910714285714</v>
      </c>
      <c r="L6" s="17">
        <f>SQRT(7.3*7.3+14.6*14.6)*56.3/2</f>
        <v>459.500789036319</v>
      </c>
      <c r="M6" s="11">
        <v>0.9</v>
      </c>
      <c r="N6" s="18">
        <f t="shared" si="1"/>
        <v>5</v>
      </c>
      <c r="O6" s="19">
        <f t="shared" si="2"/>
        <v>2705.19489285714</v>
      </c>
      <c r="P6" s="19">
        <f t="shared" si="3"/>
        <v>624</v>
      </c>
      <c r="Q6" s="19">
        <f t="shared" si="4"/>
        <v>58</v>
      </c>
      <c r="R6" s="19">
        <f t="shared" si="5"/>
        <v>1567.22853118195</v>
      </c>
      <c r="S6" s="19">
        <f t="shared" si="6"/>
        <v>205.495</v>
      </c>
      <c r="T6" s="19">
        <f t="shared" si="7"/>
        <v>250</v>
      </c>
      <c r="U6" s="19">
        <f t="shared" si="8"/>
        <v>243.446329081759</v>
      </c>
      <c r="V6" s="19">
        <f t="shared" si="9"/>
        <v>508.802827780877</v>
      </c>
      <c r="W6" s="19">
        <f t="shared" si="10"/>
        <v>27.7297541140578</v>
      </c>
      <c r="X6" s="19">
        <f t="shared" si="11"/>
        <v>6189.89733501579</v>
      </c>
    </row>
    <row r="7" s="26" customFormat="1" customHeight="1" spans="1:24">
      <c r="A7" s="10">
        <v>3</v>
      </c>
      <c r="B7" s="11" t="s">
        <v>27</v>
      </c>
      <c r="C7" s="11" t="s">
        <v>22</v>
      </c>
      <c r="D7" s="11" t="s">
        <v>23</v>
      </c>
      <c r="E7" s="11" t="s">
        <v>24</v>
      </c>
      <c r="F7" s="11">
        <v>7.3</v>
      </c>
      <c r="G7" s="13">
        <v>37.5</v>
      </c>
      <c r="H7" s="14">
        <f t="shared" si="12"/>
        <v>0.9125</v>
      </c>
      <c r="I7" s="17">
        <f t="shared" si="13"/>
        <v>0.535714285714286</v>
      </c>
      <c r="J7" s="33">
        <v>1</v>
      </c>
      <c r="K7" s="17">
        <f t="shared" si="0"/>
        <v>0.488839285714286</v>
      </c>
      <c r="L7" s="17">
        <f>SQRT(7.3*7.3+12.78*12.78)*37.5/2</f>
        <v>275.961784039022</v>
      </c>
      <c r="M7" s="11">
        <v>0.9</v>
      </c>
      <c r="N7" s="18">
        <f t="shared" si="1"/>
        <v>5</v>
      </c>
      <c r="O7" s="19">
        <f t="shared" si="2"/>
        <v>1801.86160714286</v>
      </c>
      <c r="P7" s="19">
        <f t="shared" si="3"/>
        <v>624</v>
      </c>
      <c r="Q7" s="19">
        <f t="shared" si="4"/>
        <v>58</v>
      </c>
      <c r="R7" s="19">
        <f t="shared" si="5"/>
        <v>941.228376057574</v>
      </c>
      <c r="S7" s="19">
        <f t="shared" si="6"/>
        <v>136.875</v>
      </c>
      <c r="T7" s="19">
        <f t="shared" si="7"/>
        <v>250</v>
      </c>
      <c r="U7" s="19">
        <f t="shared" si="8"/>
        <v>171.538424244019</v>
      </c>
      <c r="V7" s="19">
        <f t="shared" si="9"/>
        <v>358.515306670001</v>
      </c>
      <c r="W7" s="19">
        <f t="shared" si="10"/>
        <v>19.539084213515</v>
      </c>
      <c r="X7" s="19">
        <f t="shared" si="11"/>
        <v>4361.55779832797</v>
      </c>
    </row>
    <row r="8" s="26" customFormat="1" customHeight="1" spans="1:24">
      <c r="A8" s="10">
        <v>4</v>
      </c>
      <c r="B8" s="11" t="s">
        <v>28</v>
      </c>
      <c r="C8" s="11" t="s">
        <v>22</v>
      </c>
      <c r="D8" s="11" t="s">
        <v>29</v>
      </c>
      <c r="E8" s="11" t="s">
        <v>24</v>
      </c>
      <c r="F8" s="11">
        <v>5</v>
      </c>
      <c r="G8" s="13">
        <v>31</v>
      </c>
      <c r="H8" s="14">
        <f t="shared" si="12"/>
        <v>0.625</v>
      </c>
      <c r="I8" s="17">
        <f t="shared" si="13"/>
        <v>0.442857142857143</v>
      </c>
      <c r="J8" s="33">
        <v>1</v>
      </c>
      <c r="K8" s="17">
        <f t="shared" si="0"/>
        <v>0.276785714285714</v>
      </c>
      <c r="L8" s="17">
        <f>SQRT(5*5+7.5*7.5)*31/2</f>
        <v>139.71511192423</v>
      </c>
      <c r="M8" s="11">
        <v>0.8</v>
      </c>
      <c r="N8" s="18">
        <f t="shared" si="1"/>
        <v>5</v>
      </c>
      <c r="O8" s="19">
        <f t="shared" si="2"/>
        <v>1020.23214285714</v>
      </c>
      <c r="P8" s="19">
        <f t="shared" si="3"/>
        <v>624</v>
      </c>
      <c r="Q8" s="19">
        <f t="shared" si="4"/>
        <v>58</v>
      </c>
      <c r="R8" s="19">
        <f t="shared" si="5"/>
        <v>476.529126542208</v>
      </c>
      <c r="S8" s="19">
        <f t="shared" si="6"/>
        <v>77.5</v>
      </c>
      <c r="T8" s="19">
        <f t="shared" si="7"/>
        <v>250</v>
      </c>
      <c r="U8" s="19">
        <f t="shared" si="8"/>
        <v>112.781757122971</v>
      </c>
      <c r="V8" s="19">
        <f t="shared" si="9"/>
        <v>235.713872387009</v>
      </c>
      <c r="W8" s="19">
        <f t="shared" si="10"/>
        <v>12.846406045092</v>
      </c>
      <c r="X8" s="19">
        <f t="shared" si="11"/>
        <v>2867.60330495442</v>
      </c>
    </row>
    <row r="9" s="26" customFormat="1" customHeight="1" spans="1:24">
      <c r="A9" s="10">
        <v>5</v>
      </c>
      <c r="B9" s="11" t="s">
        <v>30</v>
      </c>
      <c r="C9" s="11" t="s">
        <v>22</v>
      </c>
      <c r="D9" s="11" t="s">
        <v>29</v>
      </c>
      <c r="E9" s="11" t="s">
        <v>24</v>
      </c>
      <c r="F9" s="11">
        <v>10.9</v>
      </c>
      <c r="G9" s="13">
        <v>47</v>
      </c>
      <c r="H9" s="14">
        <f>1+(F9-13)/13</f>
        <v>0.838461538461538</v>
      </c>
      <c r="I9" s="17">
        <f>1+(G9-100)/10/10</f>
        <v>0.47</v>
      </c>
      <c r="J9" s="33">
        <v>1</v>
      </c>
      <c r="K9" s="17">
        <f t="shared" si="0"/>
        <v>0.394076923076923</v>
      </c>
      <c r="L9" s="17">
        <f>SQRT(10.9*10.9+19.08*19.08)*47/2</f>
        <v>516.388852416471</v>
      </c>
      <c r="M9" s="11">
        <v>6.8</v>
      </c>
      <c r="N9" s="18">
        <f t="shared" si="1"/>
        <v>2</v>
      </c>
      <c r="O9" s="19">
        <f t="shared" si="2"/>
        <v>2953.60653846154</v>
      </c>
      <c r="P9" s="19">
        <f t="shared" si="3"/>
        <v>1756</v>
      </c>
      <c r="Q9" s="19">
        <f t="shared" si="4"/>
        <v>230</v>
      </c>
      <c r="R9" s="19">
        <f t="shared" si="5"/>
        <v>1761.25778671391</v>
      </c>
      <c r="S9" s="19">
        <f t="shared" si="6"/>
        <v>256.15</v>
      </c>
      <c r="T9" s="19">
        <f t="shared" si="7"/>
        <v>250</v>
      </c>
      <c r="U9" s="19">
        <f t="shared" si="8"/>
        <v>324.315644632895</v>
      </c>
      <c r="V9" s="19">
        <f t="shared" si="9"/>
        <v>677.81969728275</v>
      </c>
      <c r="W9" s="19">
        <f t="shared" si="10"/>
        <v>36.9411735019099</v>
      </c>
      <c r="X9" s="19">
        <f t="shared" si="11"/>
        <v>8246.090840593</v>
      </c>
    </row>
    <row r="10" s="26" customFormat="1" customHeight="1" spans="1:24">
      <c r="A10" s="10">
        <v>6</v>
      </c>
      <c r="B10" s="11" t="s">
        <v>31</v>
      </c>
      <c r="C10" s="11" t="s">
        <v>22</v>
      </c>
      <c r="D10" s="11" t="s">
        <v>32</v>
      </c>
      <c r="E10" s="11" t="s">
        <v>24</v>
      </c>
      <c r="F10" s="11">
        <v>10</v>
      </c>
      <c r="G10" s="13">
        <v>37</v>
      </c>
      <c r="H10" s="14">
        <f>1+(F10-9)/9</f>
        <v>1.11111111111111</v>
      </c>
      <c r="I10" s="17">
        <f>1+(G10-80)/8/10</f>
        <v>0.4625</v>
      </c>
      <c r="J10" s="33">
        <v>1</v>
      </c>
      <c r="K10" s="17">
        <f t="shared" si="0"/>
        <v>0.513888888888889</v>
      </c>
      <c r="L10" s="17">
        <f>SQRT(10*10+17.5*17.5)*37</f>
        <v>745.758841717616</v>
      </c>
      <c r="M10" s="11">
        <v>2.16</v>
      </c>
      <c r="N10" s="18">
        <f t="shared" si="1"/>
        <v>4</v>
      </c>
      <c r="O10" s="19">
        <f t="shared" si="2"/>
        <v>2399.34722222222</v>
      </c>
      <c r="P10" s="19">
        <f t="shared" si="3"/>
        <v>944</v>
      </c>
      <c r="Q10" s="19">
        <f t="shared" si="4"/>
        <v>115</v>
      </c>
      <c r="R10" s="19">
        <f t="shared" si="5"/>
        <v>2543.57459662311</v>
      </c>
      <c r="S10" s="19">
        <f t="shared" si="6"/>
        <v>185</v>
      </c>
      <c r="T10" s="19">
        <f t="shared" si="7"/>
        <v>250</v>
      </c>
      <c r="U10" s="19">
        <f t="shared" si="8"/>
        <v>289.66148184804</v>
      </c>
      <c r="V10" s="19">
        <f t="shared" si="9"/>
        <v>605.392497062403</v>
      </c>
      <c r="W10" s="19">
        <f t="shared" si="10"/>
        <v>32.993891089901</v>
      </c>
      <c r="X10" s="19">
        <f t="shared" si="11"/>
        <v>7364.96968884567</v>
      </c>
    </row>
    <row r="11" s="26" customFormat="1" customHeight="1" spans="1:24">
      <c r="A11" s="10">
        <v>7</v>
      </c>
      <c r="B11" s="11" t="s">
        <v>33</v>
      </c>
      <c r="C11" s="11" t="s">
        <v>22</v>
      </c>
      <c r="D11" s="11" t="s">
        <v>34</v>
      </c>
      <c r="E11" s="11" t="s">
        <v>24</v>
      </c>
      <c r="F11" s="11">
        <v>9</v>
      </c>
      <c r="G11" s="13">
        <v>41</v>
      </c>
      <c r="H11" s="14">
        <f>1+(F11-9)/9</f>
        <v>1</v>
      </c>
      <c r="I11" s="17">
        <f>1+(G11-80)/8/10</f>
        <v>0.5125</v>
      </c>
      <c r="J11" s="33">
        <v>1</v>
      </c>
      <c r="K11" s="17">
        <f t="shared" si="0"/>
        <v>0.5125</v>
      </c>
      <c r="L11" s="17">
        <f>SQRT(9*9+15.75*15.75)*41/2</f>
        <v>371.871638640271</v>
      </c>
      <c r="M11" s="11">
        <v>1.6</v>
      </c>
      <c r="N11" s="18">
        <f t="shared" si="1"/>
        <v>4</v>
      </c>
      <c r="O11" s="19">
        <f t="shared" si="2"/>
        <v>2392.8625</v>
      </c>
      <c r="P11" s="19">
        <f t="shared" si="3"/>
        <v>944</v>
      </c>
      <c r="Q11" s="19">
        <f t="shared" si="4"/>
        <v>115</v>
      </c>
      <c r="R11" s="19">
        <f t="shared" si="5"/>
        <v>1268.35003534314</v>
      </c>
      <c r="S11" s="19">
        <f t="shared" si="6"/>
        <v>184.5</v>
      </c>
      <c r="T11" s="19">
        <f t="shared" si="7"/>
        <v>250</v>
      </c>
      <c r="U11" s="19">
        <f t="shared" si="8"/>
        <v>231.962064090441</v>
      </c>
      <c r="V11" s="19">
        <f t="shared" si="9"/>
        <v>484.800713949023</v>
      </c>
      <c r="W11" s="19">
        <f t="shared" si="10"/>
        <v>26.4216389102217</v>
      </c>
      <c r="X11" s="19">
        <f t="shared" si="11"/>
        <v>5897.89695229283</v>
      </c>
    </row>
    <row r="12" s="26" customFormat="1" customHeight="1" spans="1:24">
      <c r="A12" s="10">
        <v>8</v>
      </c>
      <c r="B12" s="11" t="s">
        <v>35</v>
      </c>
      <c r="C12" s="11" t="s">
        <v>22</v>
      </c>
      <c r="D12" s="11" t="s">
        <v>36</v>
      </c>
      <c r="E12" s="11" t="s">
        <v>24</v>
      </c>
      <c r="F12" s="11">
        <v>9.8</v>
      </c>
      <c r="G12" s="13">
        <v>54</v>
      </c>
      <c r="H12" s="14">
        <f t="shared" ref="H12:H15" si="14">1+(F12-8)/8</f>
        <v>1.225</v>
      </c>
      <c r="I12" s="17">
        <f t="shared" ref="I12:I15" si="15">1+(G12-70)/7/10</f>
        <v>0.771428571428571</v>
      </c>
      <c r="J12" s="33">
        <v>1</v>
      </c>
      <c r="K12" s="17">
        <f t="shared" si="0"/>
        <v>0.945</v>
      </c>
      <c r="L12" s="17">
        <f>SQRT(9.8*9.8+17.15*17.15)*54/2</f>
        <v>533.318350049949</v>
      </c>
      <c r="M12" s="11">
        <v>0.8</v>
      </c>
      <c r="N12" s="18">
        <f t="shared" si="1"/>
        <v>5</v>
      </c>
      <c r="O12" s="19">
        <f t="shared" si="2"/>
        <v>3483.27</v>
      </c>
      <c r="P12" s="19">
        <f t="shared" si="3"/>
        <v>624</v>
      </c>
      <c r="Q12" s="19">
        <f t="shared" si="4"/>
        <v>58</v>
      </c>
      <c r="R12" s="19">
        <f t="shared" si="5"/>
        <v>1818.99956288236</v>
      </c>
      <c r="S12" s="19">
        <f t="shared" si="6"/>
        <v>264.6</v>
      </c>
      <c r="T12" s="19">
        <f t="shared" si="7"/>
        <v>250</v>
      </c>
      <c r="U12" s="19">
        <f t="shared" si="8"/>
        <v>292.449130329706</v>
      </c>
      <c r="V12" s="19">
        <f t="shared" si="9"/>
        <v>611.218682389086</v>
      </c>
      <c r="W12" s="19">
        <f t="shared" si="10"/>
        <v>33.3114181902052</v>
      </c>
      <c r="X12" s="19">
        <f t="shared" si="11"/>
        <v>7435.84879379136</v>
      </c>
    </row>
    <row r="13" s="26" customFormat="1" customHeight="1" spans="1:24">
      <c r="A13" s="10">
        <v>9</v>
      </c>
      <c r="B13" s="11" t="s">
        <v>37</v>
      </c>
      <c r="C13" s="11" t="s">
        <v>22</v>
      </c>
      <c r="D13" s="11" t="s">
        <v>38</v>
      </c>
      <c r="E13" s="11" t="s">
        <v>24</v>
      </c>
      <c r="F13" s="11">
        <v>16.5</v>
      </c>
      <c r="G13" s="13">
        <v>34</v>
      </c>
      <c r="H13" s="14">
        <f>1+(F13-13)/13</f>
        <v>1.26923076923077</v>
      </c>
      <c r="I13" s="17">
        <f>1+(G13-100)/10/10</f>
        <v>0.34</v>
      </c>
      <c r="J13" s="33">
        <v>1</v>
      </c>
      <c r="K13" s="17">
        <f t="shared" si="0"/>
        <v>0.431538461538462</v>
      </c>
      <c r="L13" s="17">
        <f>SQRT(16.5*16.5+33*33)*34</f>
        <v>1254.43413537738</v>
      </c>
      <c r="M13" s="11">
        <v>4.2</v>
      </c>
      <c r="N13" s="18">
        <f t="shared" si="1"/>
        <v>3</v>
      </c>
      <c r="O13" s="19">
        <f t="shared" si="2"/>
        <v>2613.82846153846</v>
      </c>
      <c r="P13" s="19">
        <f t="shared" si="3"/>
        <v>1482</v>
      </c>
      <c r="Q13" s="19">
        <f t="shared" si="4"/>
        <v>173</v>
      </c>
      <c r="R13" s="19">
        <f t="shared" si="5"/>
        <v>4278.52359421434</v>
      </c>
      <c r="S13" s="19">
        <f t="shared" si="6"/>
        <v>280.5</v>
      </c>
      <c r="T13" s="19">
        <f t="shared" si="7"/>
        <v>250</v>
      </c>
      <c r="U13" s="19">
        <f t="shared" si="8"/>
        <v>408.503342508876</v>
      </c>
      <c r="V13" s="19">
        <f t="shared" si="9"/>
        <v>853.771985843551</v>
      </c>
      <c r="W13" s="19">
        <f t="shared" si="10"/>
        <v>46.5305732284736</v>
      </c>
      <c r="X13" s="19">
        <f t="shared" si="11"/>
        <v>10386.6579573337</v>
      </c>
    </row>
    <row r="14" s="26" customFormat="1" customHeight="1" spans="1:24">
      <c r="A14" s="10">
        <v>10</v>
      </c>
      <c r="B14" s="32" t="s">
        <v>39</v>
      </c>
      <c r="C14" s="11" t="s">
        <v>22</v>
      </c>
      <c r="D14" s="11" t="s">
        <v>38</v>
      </c>
      <c r="E14" s="11" t="s">
        <v>24</v>
      </c>
      <c r="F14" s="11">
        <v>4.76</v>
      </c>
      <c r="G14" s="13">
        <v>29.4</v>
      </c>
      <c r="H14" s="14">
        <f t="shared" si="14"/>
        <v>0.595</v>
      </c>
      <c r="I14" s="17">
        <f t="shared" si="15"/>
        <v>0.42</v>
      </c>
      <c r="J14" s="33">
        <v>1</v>
      </c>
      <c r="K14" s="17">
        <f t="shared" si="0"/>
        <v>0.2499</v>
      </c>
      <c r="L14" s="17">
        <v>0</v>
      </c>
      <c r="M14" s="11">
        <v>0.37</v>
      </c>
      <c r="N14" s="18">
        <f t="shared" si="1"/>
        <v>5</v>
      </c>
      <c r="O14" s="19">
        <f t="shared" si="2"/>
        <v>921.1314</v>
      </c>
      <c r="P14" s="19">
        <f t="shared" si="3"/>
        <v>624</v>
      </c>
      <c r="Q14" s="19">
        <f t="shared" si="4"/>
        <v>58</v>
      </c>
      <c r="R14" s="19">
        <f t="shared" si="5"/>
        <v>0</v>
      </c>
      <c r="S14" s="19">
        <f t="shared" si="6"/>
        <v>69.972</v>
      </c>
      <c r="T14" s="19">
        <f t="shared" si="7"/>
        <v>250</v>
      </c>
      <c r="U14" s="19">
        <f t="shared" si="8"/>
        <v>86.539653</v>
      </c>
      <c r="V14" s="19">
        <f t="shared" si="9"/>
        <v>180.86787477</v>
      </c>
      <c r="W14" s="19">
        <f t="shared" si="10"/>
        <v>9.857299174965</v>
      </c>
      <c r="X14" s="19">
        <f t="shared" si="11"/>
        <v>2200.36822694497</v>
      </c>
    </row>
    <row r="15" s="26" customFormat="1" customHeight="1" spans="1:24">
      <c r="A15" s="10">
        <v>11</v>
      </c>
      <c r="B15" s="32" t="s">
        <v>40</v>
      </c>
      <c r="C15" s="11" t="s">
        <v>22</v>
      </c>
      <c r="D15" s="11" t="s">
        <v>38</v>
      </c>
      <c r="E15" s="11" t="s">
        <v>24</v>
      </c>
      <c r="F15" s="11">
        <v>2.98</v>
      </c>
      <c r="G15" s="13">
        <v>51.2</v>
      </c>
      <c r="H15" s="14">
        <f t="shared" si="14"/>
        <v>0.3725</v>
      </c>
      <c r="I15" s="17">
        <f t="shared" si="15"/>
        <v>0.731428571428571</v>
      </c>
      <c r="J15" s="33">
        <v>1</v>
      </c>
      <c r="K15" s="17">
        <f t="shared" si="0"/>
        <v>0.272457142857143</v>
      </c>
      <c r="L15" s="17">
        <v>191.94</v>
      </c>
      <c r="M15" s="11">
        <v>0.27</v>
      </c>
      <c r="N15" s="18">
        <f t="shared" si="1"/>
        <v>5</v>
      </c>
      <c r="O15" s="19">
        <f t="shared" si="2"/>
        <v>1004.27702857143</v>
      </c>
      <c r="P15" s="19">
        <f t="shared" si="3"/>
        <v>624</v>
      </c>
      <c r="Q15" s="19">
        <f t="shared" si="4"/>
        <v>58</v>
      </c>
      <c r="R15" s="19">
        <f t="shared" si="5"/>
        <v>654.6535968</v>
      </c>
      <c r="S15" s="19">
        <f t="shared" si="6"/>
        <v>76.288</v>
      </c>
      <c r="T15" s="19">
        <f t="shared" si="7"/>
        <v>250</v>
      </c>
      <c r="U15" s="19">
        <f t="shared" si="8"/>
        <v>120.024838141714</v>
      </c>
      <c r="V15" s="19">
        <f t="shared" si="9"/>
        <v>250.851911716183</v>
      </c>
      <c r="W15" s="19">
        <f t="shared" si="10"/>
        <v>13.671429188532</v>
      </c>
      <c r="X15" s="19">
        <f t="shared" si="11"/>
        <v>3051.76680441786</v>
      </c>
    </row>
    <row r="16" s="26" customFormat="1" customHeight="1" spans="1:24">
      <c r="A16" s="10">
        <v>12</v>
      </c>
      <c r="B16" s="11" t="s">
        <v>41</v>
      </c>
      <c r="C16" s="11" t="s">
        <v>22</v>
      </c>
      <c r="D16" s="11" t="s">
        <v>42</v>
      </c>
      <c r="E16" s="11" t="s">
        <v>24</v>
      </c>
      <c r="F16" s="11">
        <v>8.6</v>
      </c>
      <c r="G16" s="13">
        <v>37</v>
      </c>
      <c r="H16" s="14">
        <f t="shared" ref="H16:H19" si="16">1+(F16-9)/9</f>
        <v>0.955555555555555</v>
      </c>
      <c r="I16" s="17">
        <f t="shared" ref="I16:I19" si="17">1+(G16-80)/8/10</f>
        <v>0.4625</v>
      </c>
      <c r="J16" s="33">
        <v>1</v>
      </c>
      <c r="K16" s="17">
        <f t="shared" si="0"/>
        <v>0.441944444444444</v>
      </c>
      <c r="L16" s="17">
        <f>SQRT(8.6*8.6+15.05*15.05)*37</f>
        <v>641.35260387715</v>
      </c>
      <c r="M16" s="11">
        <v>1.3</v>
      </c>
      <c r="N16" s="18">
        <f t="shared" si="1"/>
        <v>4</v>
      </c>
      <c r="O16" s="19">
        <f t="shared" si="2"/>
        <v>2063.43861111111</v>
      </c>
      <c r="P16" s="19">
        <f t="shared" si="3"/>
        <v>944</v>
      </c>
      <c r="Q16" s="19">
        <f t="shared" si="4"/>
        <v>115</v>
      </c>
      <c r="R16" s="19">
        <f t="shared" si="5"/>
        <v>2187.47415309587</v>
      </c>
      <c r="S16" s="19">
        <f t="shared" si="6"/>
        <v>159.1</v>
      </c>
      <c r="T16" s="19">
        <f t="shared" si="7"/>
        <v>250</v>
      </c>
      <c r="U16" s="19">
        <f t="shared" si="8"/>
        <v>257.355574389314</v>
      </c>
      <c r="V16" s="19">
        <f t="shared" si="9"/>
        <v>537.873150473667</v>
      </c>
      <c r="W16" s="19">
        <f t="shared" si="10"/>
        <v>29.3140867008148</v>
      </c>
      <c r="X16" s="19">
        <f t="shared" si="11"/>
        <v>6543.55557577078</v>
      </c>
    </row>
    <row r="17" s="26" customFormat="1" customHeight="1" spans="1:24">
      <c r="A17" s="10">
        <v>13</v>
      </c>
      <c r="B17" s="11" t="s">
        <v>43</v>
      </c>
      <c r="C17" s="11" t="s">
        <v>22</v>
      </c>
      <c r="D17" s="11" t="s">
        <v>42</v>
      </c>
      <c r="E17" s="11" t="s">
        <v>24</v>
      </c>
      <c r="F17" s="11">
        <v>6.4</v>
      </c>
      <c r="G17" s="13">
        <v>16.5</v>
      </c>
      <c r="H17" s="14">
        <f t="shared" ref="H17:H23" si="18">1+(F17-8)/8</f>
        <v>0.8</v>
      </c>
      <c r="I17" s="17">
        <f t="shared" ref="I17:I23" si="19">1+(G17-70)/7/10</f>
        <v>0.235714285714286</v>
      </c>
      <c r="J17" s="33">
        <v>1</v>
      </c>
      <c r="K17" s="17">
        <f t="shared" si="0"/>
        <v>0.188571428571429</v>
      </c>
      <c r="L17" s="17">
        <v>0</v>
      </c>
      <c r="M17" s="11">
        <v>0.8</v>
      </c>
      <c r="N17" s="18">
        <f t="shared" si="1"/>
        <v>5</v>
      </c>
      <c r="O17" s="19">
        <f t="shared" si="2"/>
        <v>695.074285714286</v>
      </c>
      <c r="P17" s="19">
        <f t="shared" si="3"/>
        <v>624</v>
      </c>
      <c r="Q17" s="19">
        <f t="shared" si="4"/>
        <v>58</v>
      </c>
      <c r="R17" s="19">
        <f t="shared" si="5"/>
        <v>0</v>
      </c>
      <c r="S17" s="19">
        <f t="shared" si="6"/>
        <v>52.8</v>
      </c>
      <c r="T17" s="19">
        <f t="shared" si="7"/>
        <v>250</v>
      </c>
      <c r="U17" s="19">
        <f t="shared" si="8"/>
        <v>75.5943428571428</v>
      </c>
      <c r="V17" s="19">
        <f t="shared" si="9"/>
        <v>157.992176571429</v>
      </c>
      <c r="W17" s="19">
        <f t="shared" si="10"/>
        <v>8.61057362314286</v>
      </c>
      <c r="X17" s="19">
        <f t="shared" si="11"/>
        <v>1922.071378766</v>
      </c>
    </row>
    <row r="18" s="26" customFormat="1" customHeight="1" spans="1:24">
      <c r="A18" s="10">
        <v>14</v>
      </c>
      <c r="B18" s="11" t="s">
        <v>44</v>
      </c>
      <c r="C18" s="11" t="s">
        <v>22</v>
      </c>
      <c r="D18" s="11" t="s">
        <v>45</v>
      </c>
      <c r="E18" s="11" t="s">
        <v>24</v>
      </c>
      <c r="F18" s="11">
        <v>6.5</v>
      </c>
      <c r="G18" s="13">
        <v>37.73</v>
      </c>
      <c r="H18" s="14">
        <f t="shared" si="16"/>
        <v>0.722222222222222</v>
      </c>
      <c r="I18" s="17">
        <f t="shared" si="17"/>
        <v>0.471625</v>
      </c>
      <c r="J18" s="33">
        <v>1</v>
      </c>
      <c r="K18" s="17">
        <f t="shared" si="0"/>
        <v>0.340618055555556</v>
      </c>
      <c r="L18" s="17">
        <f>SQRT(6.5*6.5+16.25*16.25)*37.73</f>
        <v>660.342371562851</v>
      </c>
      <c r="M18" s="11">
        <v>1.5</v>
      </c>
      <c r="N18" s="18">
        <f t="shared" si="1"/>
        <v>4</v>
      </c>
      <c r="O18" s="19">
        <f t="shared" si="2"/>
        <v>1590.34570138889</v>
      </c>
      <c r="P18" s="19">
        <f t="shared" si="3"/>
        <v>944</v>
      </c>
      <c r="Q18" s="19">
        <f t="shared" si="4"/>
        <v>115</v>
      </c>
      <c r="R18" s="19">
        <f t="shared" si="5"/>
        <v>2252.24293353685</v>
      </c>
      <c r="S18" s="19">
        <f t="shared" si="6"/>
        <v>122.6225</v>
      </c>
      <c r="T18" s="19">
        <f t="shared" si="7"/>
        <v>250</v>
      </c>
      <c r="U18" s="19">
        <f t="shared" si="8"/>
        <v>237.339501071658</v>
      </c>
      <c r="V18" s="19">
        <f t="shared" si="9"/>
        <v>496.039557239765</v>
      </c>
      <c r="W18" s="19">
        <f t="shared" si="10"/>
        <v>27.0341558695672</v>
      </c>
      <c r="X18" s="19">
        <f t="shared" si="11"/>
        <v>6034.62434910673</v>
      </c>
    </row>
    <row r="19" s="26" customFormat="1" customHeight="1" spans="1:24">
      <c r="A19" s="10">
        <v>15</v>
      </c>
      <c r="B19" s="11" t="s">
        <v>46</v>
      </c>
      <c r="C19" s="11" t="s">
        <v>22</v>
      </c>
      <c r="D19" s="11" t="s">
        <v>45</v>
      </c>
      <c r="E19" s="11" t="s">
        <v>24</v>
      </c>
      <c r="F19" s="11">
        <v>10</v>
      </c>
      <c r="G19" s="13">
        <v>39</v>
      </c>
      <c r="H19" s="14">
        <f t="shared" si="16"/>
        <v>1.11111111111111</v>
      </c>
      <c r="I19" s="17">
        <f t="shared" si="17"/>
        <v>0.4875</v>
      </c>
      <c r="J19" s="33">
        <v>1</v>
      </c>
      <c r="K19" s="17">
        <f t="shared" si="0"/>
        <v>0.541666666666667</v>
      </c>
      <c r="L19" s="17">
        <f>SQRT(10*10+17.5*17.5)*39/2</f>
        <v>393.035065229554</v>
      </c>
      <c r="M19" s="11">
        <v>1.8</v>
      </c>
      <c r="N19" s="18">
        <f t="shared" si="1"/>
        <v>4</v>
      </c>
      <c r="O19" s="19">
        <f t="shared" si="2"/>
        <v>2529.04166666667</v>
      </c>
      <c r="P19" s="19">
        <f t="shared" si="3"/>
        <v>944</v>
      </c>
      <c r="Q19" s="19">
        <f t="shared" si="4"/>
        <v>115</v>
      </c>
      <c r="R19" s="19">
        <f t="shared" si="5"/>
        <v>1340.53255767975</v>
      </c>
      <c r="S19" s="19">
        <f t="shared" si="6"/>
        <v>195</v>
      </c>
      <c r="T19" s="19">
        <f t="shared" si="7"/>
        <v>250</v>
      </c>
      <c r="U19" s="19">
        <f t="shared" si="8"/>
        <v>241.810840095589</v>
      </c>
      <c r="V19" s="19">
        <f t="shared" si="9"/>
        <v>505.38465579978</v>
      </c>
      <c r="W19" s="19">
        <f t="shared" si="10"/>
        <v>27.543463741088</v>
      </c>
      <c r="X19" s="19">
        <f t="shared" si="11"/>
        <v>6148.31318398287</v>
      </c>
    </row>
    <row r="20" s="26" customFormat="1" customHeight="1" spans="1:24">
      <c r="A20" s="10">
        <v>16</v>
      </c>
      <c r="B20" s="11" t="s">
        <v>47</v>
      </c>
      <c r="C20" s="11" t="s">
        <v>22</v>
      </c>
      <c r="D20" s="11" t="s">
        <v>26</v>
      </c>
      <c r="E20" s="11" t="s">
        <v>24</v>
      </c>
      <c r="F20" s="11">
        <v>12</v>
      </c>
      <c r="G20" s="13">
        <v>30.77</v>
      </c>
      <c r="H20" s="14">
        <f t="shared" si="18"/>
        <v>1.5</v>
      </c>
      <c r="I20" s="17">
        <f t="shared" si="19"/>
        <v>0.439571428571429</v>
      </c>
      <c r="J20" s="33">
        <v>1</v>
      </c>
      <c r="K20" s="17">
        <f t="shared" si="0"/>
        <v>0.659357142857143</v>
      </c>
      <c r="L20" s="17">
        <v>0</v>
      </c>
      <c r="M20" s="11">
        <v>0.46</v>
      </c>
      <c r="N20" s="18">
        <f t="shared" si="1"/>
        <v>5</v>
      </c>
      <c r="O20" s="19">
        <f t="shared" si="2"/>
        <v>2430.39042857143</v>
      </c>
      <c r="P20" s="19">
        <f t="shared" si="3"/>
        <v>624</v>
      </c>
      <c r="Q20" s="19">
        <f t="shared" si="4"/>
        <v>58</v>
      </c>
      <c r="R20" s="19">
        <f t="shared" si="5"/>
        <v>0</v>
      </c>
      <c r="S20" s="19">
        <f t="shared" si="6"/>
        <v>184.62</v>
      </c>
      <c r="T20" s="19">
        <f t="shared" si="7"/>
        <v>250</v>
      </c>
      <c r="U20" s="19">
        <f t="shared" si="8"/>
        <v>159.615469285714</v>
      </c>
      <c r="V20" s="19">
        <f t="shared" si="9"/>
        <v>333.596330807143</v>
      </c>
      <c r="W20" s="19">
        <f t="shared" si="10"/>
        <v>18.1810000289893</v>
      </c>
      <c r="X20" s="19">
        <f t="shared" si="11"/>
        <v>4058.40322869327</v>
      </c>
    </row>
    <row r="21" s="26" customFormat="1" customHeight="1" spans="1:24">
      <c r="A21" s="10">
        <v>17</v>
      </c>
      <c r="B21" s="11" t="s">
        <v>48</v>
      </c>
      <c r="C21" s="11" t="s">
        <v>22</v>
      </c>
      <c r="D21" s="11" t="s">
        <v>26</v>
      </c>
      <c r="E21" s="11" t="s">
        <v>24</v>
      </c>
      <c r="F21" s="11">
        <v>5.85</v>
      </c>
      <c r="G21" s="13">
        <v>41</v>
      </c>
      <c r="H21" s="14">
        <f t="shared" si="18"/>
        <v>0.73125</v>
      </c>
      <c r="I21" s="17">
        <f t="shared" si="19"/>
        <v>0.585714285714286</v>
      </c>
      <c r="J21" s="33">
        <v>1</v>
      </c>
      <c r="K21" s="17">
        <f t="shared" si="0"/>
        <v>0.428303571428571</v>
      </c>
      <c r="L21" s="17">
        <f>SQRT(5.85*5.85+10.24*10.24)*41/2</f>
        <v>241.761063914353</v>
      </c>
      <c r="M21" s="11">
        <v>0.8</v>
      </c>
      <c r="N21" s="18">
        <f t="shared" si="1"/>
        <v>5</v>
      </c>
      <c r="O21" s="19">
        <f t="shared" si="2"/>
        <v>1578.72696428571</v>
      </c>
      <c r="P21" s="19">
        <f t="shared" si="3"/>
        <v>624</v>
      </c>
      <c r="Q21" s="19">
        <f t="shared" si="4"/>
        <v>58</v>
      </c>
      <c r="R21" s="19">
        <f t="shared" si="5"/>
        <v>824.579295913963</v>
      </c>
      <c r="S21" s="19">
        <f t="shared" si="6"/>
        <v>119.925</v>
      </c>
      <c r="T21" s="19">
        <f t="shared" si="7"/>
        <v>250</v>
      </c>
      <c r="U21" s="19">
        <f t="shared" si="8"/>
        <v>155.485406708985</v>
      </c>
      <c r="V21" s="19">
        <f t="shared" si="9"/>
        <v>324.96450002178</v>
      </c>
      <c r="W21" s="19">
        <f t="shared" si="10"/>
        <v>17.710565251187</v>
      </c>
      <c r="X21" s="19">
        <f t="shared" si="11"/>
        <v>3953.39173218163</v>
      </c>
    </row>
    <row r="22" s="26" customFormat="1" customHeight="1" spans="1:24">
      <c r="A22" s="10">
        <v>18</v>
      </c>
      <c r="B22" s="11" t="s">
        <v>49</v>
      </c>
      <c r="C22" s="11" t="s">
        <v>22</v>
      </c>
      <c r="D22" s="11" t="s">
        <v>26</v>
      </c>
      <c r="E22" s="11" t="s">
        <v>24</v>
      </c>
      <c r="F22" s="11">
        <v>7.5</v>
      </c>
      <c r="G22" s="13">
        <v>58.2</v>
      </c>
      <c r="H22" s="14">
        <f t="shared" si="18"/>
        <v>0.9375</v>
      </c>
      <c r="I22" s="17">
        <f t="shared" si="19"/>
        <v>0.831428571428571</v>
      </c>
      <c r="J22" s="33">
        <v>1</v>
      </c>
      <c r="K22" s="17">
        <f t="shared" si="0"/>
        <v>0.779464285714286</v>
      </c>
      <c r="L22" s="17">
        <f>SQRT(7.5*7.5+13.13*13.13)*58.2/2</f>
        <v>440.023273690154</v>
      </c>
      <c r="M22" s="11">
        <v>0.8</v>
      </c>
      <c r="N22" s="18">
        <f t="shared" si="1"/>
        <v>5</v>
      </c>
      <c r="O22" s="19">
        <f t="shared" si="2"/>
        <v>2873.10535714286</v>
      </c>
      <c r="P22" s="19">
        <f t="shared" si="3"/>
        <v>624</v>
      </c>
      <c r="Q22" s="19">
        <f t="shared" si="4"/>
        <v>58</v>
      </c>
      <c r="R22" s="19">
        <f t="shared" si="5"/>
        <v>1500.79618004048</v>
      </c>
      <c r="S22" s="19">
        <f t="shared" si="6"/>
        <v>218.25</v>
      </c>
      <c r="T22" s="19">
        <f t="shared" si="7"/>
        <v>250</v>
      </c>
      <c r="U22" s="19">
        <f t="shared" si="8"/>
        <v>248.58681917325</v>
      </c>
      <c r="V22" s="19">
        <f t="shared" si="9"/>
        <v>519.546452072093</v>
      </c>
      <c r="W22" s="19">
        <f t="shared" si="10"/>
        <v>28.3152816379291</v>
      </c>
      <c r="X22" s="19">
        <f t="shared" si="11"/>
        <v>6320.60009006661</v>
      </c>
    </row>
    <row r="23" s="26" customFormat="1" customHeight="1" spans="1:24">
      <c r="A23" s="10">
        <v>19</v>
      </c>
      <c r="B23" s="11" t="s">
        <v>50</v>
      </c>
      <c r="C23" s="11" t="s">
        <v>22</v>
      </c>
      <c r="D23" s="11" t="s">
        <v>23</v>
      </c>
      <c r="E23" s="11" t="s">
        <v>24</v>
      </c>
      <c r="F23" s="11">
        <v>8</v>
      </c>
      <c r="G23" s="13">
        <v>49.2</v>
      </c>
      <c r="H23" s="14">
        <f t="shared" si="18"/>
        <v>1</v>
      </c>
      <c r="I23" s="17">
        <f t="shared" si="19"/>
        <v>0.702857142857143</v>
      </c>
      <c r="J23" s="33">
        <v>1</v>
      </c>
      <c r="K23" s="17">
        <f t="shared" si="0"/>
        <v>0.702857142857143</v>
      </c>
      <c r="L23" s="17">
        <v>0</v>
      </c>
      <c r="M23" s="11">
        <v>0.68</v>
      </c>
      <c r="N23" s="18">
        <f t="shared" si="1"/>
        <v>5</v>
      </c>
      <c r="O23" s="19">
        <f t="shared" si="2"/>
        <v>2590.73142857143</v>
      </c>
      <c r="P23" s="19">
        <f t="shared" si="3"/>
        <v>624</v>
      </c>
      <c r="Q23" s="19">
        <f t="shared" si="4"/>
        <v>58</v>
      </c>
      <c r="R23" s="19">
        <f t="shared" si="5"/>
        <v>0</v>
      </c>
      <c r="S23" s="19">
        <f t="shared" si="6"/>
        <v>196.8</v>
      </c>
      <c r="T23" s="19">
        <f t="shared" si="7"/>
        <v>250</v>
      </c>
      <c r="U23" s="19">
        <f t="shared" si="8"/>
        <v>167.378914285714</v>
      </c>
      <c r="V23" s="19">
        <f t="shared" si="9"/>
        <v>349.821930857143</v>
      </c>
      <c r="W23" s="19">
        <f t="shared" si="10"/>
        <v>19.0652952317143</v>
      </c>
      <c r="X23" s="19">
        <f t="shared" si="11"/>
        <v>4255.797568946</v>
      </c>
    </row>
    <row r="24" s="26" customFormat="1" customHeight="1" spans="1:24">
      <c r="A24" s="10">
        <v>20</v>
      </c>
      <c r="B24" s="11" t="s">
        <v>51</v>
      </c>
      <c r="C24" s="11" t="s">
        <v>22</v>
      </c>
      <c r="D24" s="11" t="s">
        <v>45</v>
      </c>
      <c r="E24" s="11" t="s">
        <v>24</v>
      </c>
      <c r="F24" s="11">
        <v>8.17</v>
      </c>
      <c r="G24" s="13">
        <v>54</v>
      </c>
      <c r="H24" s="14">
        <f t="shared" ref="H24:H26" si="20">1+(F24-9)/9</f>
        <v>0.907777777777778</v>
      </c>
      <c r="I24" s="17">
        <f t="shared" ref="I24:I26" si="21">1+(G24-80)/8/10</f>
        <v>0.675</v>
      </c>
      <c r="J24" s="33">
        <v>1</v>
      </c>
      <c r="K24" s="17">
        <f t="shared" si="0"/>
        <v>0.61275</v>
      </c>
      <c r="L24" s="17">
        <f>SQRT(8.17*8.17+16.34*16.34)*54/2</f>
        <v>493.254235156679</v>
      </c>
      <c r="M24" s="11">
        <v>2.4</v>
      </c>
      <c r="N24" s="18">
        <f t="shared" si="1"/>
        <v>4</v>
      </c>
      <c r="O24" s="19">
        <f t="shared" si="2"/>
        <v>2860.92975</v>
      </c>
      <c r="P24" s="19">
        <f t="shared" si="3"/>
        <v>944</v>
      </c>
      <c r="Q24" s="19">
        <f t="shared" si="4"/>
        <v>115</v>
      </c>
      <c r="R24" s="19">
        <f t="shared" si="5"/>
        <v>1682.35208493359</v>
      </c>
      <c r="S24" s="19">
        <f t="shared" si="6"/>
        <v>220.59</v>
      </c>
      <c r="T24" s="19">
        <f t="shared" si="7"/>
        <v>250</v>
      </c>
      <c r="U24" s="19">
        <f t="shared" si="8"/>
        <v>273.279232572011</v>
      </c>
      <c r="V24" s="19">
        <f t="shared" si="9"/>
        <v>571.153596075504</v>
      </c>
      <c r="W24" s="19">
        <f t="shared" si="10"/>
        <v>31.127870986115</v>
      </c>
      <c r="X24" s="19">
        <f t="shared" si="11"/>
        <v>6948.43253456722</v>
      </c>
    </row>
    <row r="25" s="26" customFormat="1" customHeight="1" spans="1:24">
      <c r="A25" s="10">
        <v>21</v>
      </c>
      <c r="B25" s="11" t="s">
        <v>52</v>
      </c>
      <c r="C25" s="11" t="s">
        <v>22</v>
      </c>
      <c r="D25" s="11" t="s">
        <v>23</v>
      </c>
      <c r="E25" s="11" t="s">
        <v>24</v>
      </c>
      <c r="F25" s="11">
        <v>8</v>
      </c>
      <c r="G25" s="13">
        <v>38</v>
      </c>
      <c r="H25" s="14">
        <f t="shared" si="20"/>
        <v>0.888888888888889</v>
      </c>
      <c r="I25" s="17">
        <f t="shared" si="21"/>
        <v>0.475</v>
      </c>
      <c r="J25" s="33">
        <v>1</v>
      </c>
      <c r="K25" s="17">
        <f t="shared" si="0"/>
        <v>0.422222222222222</v>
      </c>
      <c r="L25" s="17">
        <f>SQRT(8*8+14*14)*38</f>
        <v>612.73158887069</v>
      </c>
      <c r="M25" s="11">
        <v>1.3</v>
      </c>
      <c r="N25" s="18">
        <f t="shared" si="1"/>
        <v>4</v>
      </c>
      <c r="O25" s="19">
        <f t="shared" si="2"/>
        <v>1971.35555555556</v>
      </c>
      <c r="P25" s="19">
        <f t="shared" si="3"/>
        <v>944</v>
      </c>
      <c r="Q25" s="19">
        <f t="shared" si="4"/>
        <v>115</v>
      </c>
      <c r="R25" s="19">
        <f t="shared" si="5"/>
        <v>2089.85588479304</v>
      </c>
      <c r="S25" s="19">
        <f t="shared" si="6"/>
        <v>152</v>
      </c>
      <c r="T25" s="19">
        <f t="shared" si="7"/>
        <v>250</v>
      </c>
      <c r="U25" s="19">
        <f t="shared" si="8"/>
        <v>248.499514815687</v>
      </c>
      <c r="V25" s="19">
        <f t="shared" si="9"/>
        <v>519.363985964785</v>
      </c>
      <c r="W25" s="19">
        <f t="shared" si="10"/>
        <v>28.3053372350808</v>
      </c>
      <c r="X25" s="19">
        <f t="shared" si="11"/>
        <v>6318.38027836415</v>
      </c>
    </row>
    <row r="26" s="26" customFormat="1" customHeight="1" spans="1:24">
      <c r="A26" s="10">
        <v>22</v>
      </c>
      <c r="B26" s="11" t="s">
        <v>53</v>
      </c>
      <c r="C26" s="11" t="s">
        <v>22</v>
      </c>
      <c r="D26" s="11" t="s">
        <v>23</v>
      </c>
      <c r="E26" s="11" t="s">
        <v>24</v>
      </c>
      <c r="F26" s="11">
        <v>9</v>
      </c>
      <c r="G26" s="13">
        <v>52</v>
      </c>
      <c r="H26" s="14">
        <f t="shared" si="20"/>
        <v>1</v>
      </c>
      <c r="I26" s="17">
        <f t="shared" si="21"/>
        <v>0.65</v>
      </c>
      <c r="J26" s="33">
        <v>1</v>
      </c>
      <c r="K26" s="17">
        <f t="shared" si="0"/>
        <v>0.65</v>
      </c>
      <c r="L26" s="17">
        <f>SQRT(9*9+15.75*15.75)*52/2</f>
        <v>471.642078275465</v>
      </c>
      <c r="M26" s="11">
        <v>1</v>
      </c>
      <c r="N26" s="18">
        <f t="shared" si="1"/>
        <v>5</v>
      </c>
      <c r="O26" s="19">
        <f t="shared" si="2"/>
        <v>2395.9</v>
      </c>
      <c r="P26" s="19">
        <f t="shared" si="3"/>
        <v>624</v>
      </c>
      <c r="Q26" s="19">
        <f t="shared" si="4"/>
        <v>58</v>
      </c>
      <c r="R26" s="19">
        <f t="shared" si="5"/>
        <v>1608.63906921569</v>
      </c>
      <c r="S26" s="19">
        <f t="shared" si="6"/>
        <v>234</v>
      </c>
      <c r="T26" s="19">
        <f t="shared" si="7"/>
        <v>250</v>
      </c>
      <c r="U26" s="19">
        <f t="shared" si="8"/>
        <v>232.674258114706</v>
      </c>
      <c r="V26" s="19">
        <f t="shared" si="9"/>
        <v>486.289199459736</v>
      </c>
      <c r="W26" s="19">
        <f t="shared" si="10"/>
        <v>26.5027613705556</v>
      </c>
      <c r="X26" s="19">
        <f t="shared" si="11"/>
        <v>5916.00528816069</v>
      </c>
    </row>
    <row r="27" s="26" customFormat="1" customHeight="1" spans="1:24">
      <c r="A27" s="10">
        <v>23</v>
      </c>
      <c r="B27" s="11" t="s">
        <v>54</v>
      </c>
      <c r="C27" s="11" t="s">
        <v>22</v>
      </c>
      <c r="D27" s="11" t="s">
        <v>55</v>
      </c>
      <c r="E27" s="11" t="s">
        <v>24</v>
      </c>
      <c r="F27" s="11">
        <v>8.4</v>
      </c>
      <c r="G27" s="13">
        <v>27</v>
      </c>
      <c r="H27" s="14">
        <f t="shared" ref="H27:H33" si="22">1+(F27-8)/8</f>
        <v>1.05</v>
      </c>
      <c r="I27" s="17">
        <f t="shared" ref="I27:I33" si="23">1+(G27-70)/7/10</f>
        <v>0.385714285714286</v>
      </c>
      <c r="J27" s="33">
        <v>1</v>
      </c>
      <c r="K27" s="17">
        <f t="shared" si="0"/>
        <v>0.405</v>
      </c>
      <c r="L27" s="17">
        <f>SQRT(8.4*8.4+14.7*14.7)*27/2</f>
        <v>228.565007164264</v>
      </c>
      <c r="M27" s="11">
        <v>1</v>
      </c>
      <c r="N27" s="18">
        <f t="shared" si="1"/>
        <v>5</v>
      </c>
      <c r="O27" s="19">
        <f t="shared" si="2"/>
        <v>1492.83</v>
      </c>
      <c r="P27" s="19">
        <f t="shared" si="3"/>
        <v>624</v>
      </c>
      <c r="Q27" s="19">
        <f t="shared" si="4"/>
        <v>58</v>
      </c>
      <c r="R27" s="19">
        <f t="shared" si="5"/>
        <v>779.571241235298</v>
      </c>
      <c r="S27" s="19">
        <f t="shared" si="6"/>
        <v>113.4</v>
      </c>
      <c r="T27" s="19">
        <f t="shared" si="7"/>
        <v>250</v>
      </c>
      <c r="U27" s="19">
        <f t="shared" si="8"/>
        <v>149.301055855588</v>
      </c>
      <c r="V27" s="19">
        <f t="shared" si="9"/>
        <v>312.03920673818</v>
      </c>
      <c r="W27" s="19">
        <f t="shared" si="10"/>
        <v>17.0061367672308</v>
      </c>
      <c r="X27" s="19">
        <f t="shared" si="11"/>
        <v>3796.1476405963</v>
      </c>
    </row>
    <row r="28" s="26" customFormat="1" customHeight="1" spans="1:24">
      <c r="A28" s="10">
        <v>24</v>
      </c>
      <c r="B28" s="11" t="s">
        <v>56</v>
      </c>
      <c r="C28" s="11" t="s">
        <v>22</v>
      </c>
      <c r="D28" s="11" t="s">
        <v>32</v>
      </c>
      <c r="E28" s="11" t="s">
        <v>24</v>
      </c>
      <c r="F28" s="11">
        <v>9.6</v>
      </c>
      <c r="G28" s="13">
        <v>40</v>
      </c>
      <c r="H28" s="14">
        <f t="shared" si="22"/>
        <v>1.2</v>
      </c>
      <c r="I28" s="17">
        <f t="shared" si="23"/>
        <v>0.571428571428571</v>
      </c>
      <c r="J28" s="33">
        <v>1</v>
      </c>
      <c r="K28" s="17">
        <f t="shared" si="0"/>
        <v>0.685714285714286</v>
      </c>
      <c r="L28" s="17">
        <f>SQRT(9.6*9.6+16.8*16.8)*40/2</f>
        <v>386.98837191833</v>
      </c>
      <c r="M28" s="11">
        <v>0.8</v>
      </c>
      <c r="N28" s="18">
        <f t="shared" si="1"/>
        <v>5</v>
      </c>
      <c r="O28" s="19">
        <f t="shared" si="2"/>
        <v>2527.54285714286</v>
      </c>
      <c r="P28" s="19">
        <f t="shared" si="3"/>
        <v>624</v>
      </c>
      <c r="Q28" s="19">
        <f t="shared" si="4"/>
        <v>58</v>
      </c>
      <c r="R28" s="19">
        <f t="shared" si="5"/>
        <v>1319.90897986929</v>
      </c>
      <c r="S28" s="19">
        <f t="shared" si="6"/>
        <v>192</v>
      </c>
      <c r="T28" s="19">
        <f t="shared" si="7"/>
        <v>250</v>
      </c>
      <c r="U28" s="19">
        <f t="shared" si="8"/>
        <v>223.715332665547</v>
      </c>
      <c r="V28" s="19">
        <f t="shared" si="9"/>
        <v>467.565045270992</v>
      </c>
      <c r="W28" s="19">
        <f t="shared" si="10"/>
        <v>25.4822949672691</v>
      </c>
      <c r="X28" s="19">
        <f t="shared" si="11"/>
        <v>5688.21450991595</v>
      </c>
    </row>
    <row r="29" s="26" customFormat="1" customHeight="1" spans="1:24">
      <c r="A29" s="10">
        <v>25</v>
      </c>
      <c r="B29" s="11" t="s">
        <v>57</v>
      </c>
      <c r="C29" s="11" t="s">
        <v>22</v>
      </c>
      <c r="D29" s="11" t="s">
        <v>58</v>
      </c>
      <c r="E29" s="11" t="s">
        <v>24</v>
      </c>
      <c r="F29" s="11">
        <v>12.5</v>
      </c>
      <c r="G29" s="13">
        <v>45</v>
      </c>
      <c r="H29" s="14">
        <f t="shared" ref="H29:H31" si="24">1+(F29-9)/9</f>
        <v>1.38888888888889</v>
      </c>
      <c r="I29" s="17">
        <f t="shared" ref="I29:I31" si="25">1+(G29-80)/8/10</f>
        <v>0.5625</v>
      </c>
      <c r="J29" s="34">
        <v>1.1</v>
      </c>
      <c r="K29" s="17">
        <f t="shared" si="0"/>
        <v>0.859375</v>
      </c>
      <c r="L29" s="17">
        <f>SQRT(12.5*12.5+21.88*21.88)*45</f>
        <v>1133.95035605621</v>
      </c>
      <c r="M29" s="11">
        <v>2.1</v>
      </c>
      <c r="N29" s="18">
        <f t="shared" si="1"/>
        <v>4</v>
      </c>
      <c r="O29" s="19">
        <f t="shared" si="2"/>
        <v>4012.421875</v>
      </c>
      <c r="P29" s="19">
        <f t="shared" si="3"/>
        <v>1038.4</v>
      </c>
      <c r="Q29" s="19">
        <f t="shared" si="4"/>
        <v>115</v>
      </c>
      <c r="R29" s="19">
        <f t="shared" si="5"/>
        <v>3867.58715840803</v>
      </c>
      <c r="S29" s="19">
        <f t="shared" si="6"/>
        <v>281.25</v>
      </c>
      <c r="T29" s="19">
        <f t="shared" si="7"/>
        <v>250</v>
      </c>
      <c r="U29" s="19">
        <f t="shared" si="8"/>
        <v>430.409656503361</v>
      </c>
      <c r="V29" s="19">
        <f t="shared" si="9"/>
        <v>899.556182092025</v>
      </c>
      <c r="W29" s="19">
        <f t="shared" si="10"/>
        <v>49.0258119240154</v>
      </c>
      <c r="X29" s="19">
        <f t="shared" si="11"/>
        <v>10943.6506839274</v>
      </c>
    </row>
    <row r="30" s="26" customFormat="1" customHeight="1" spans="1:24">
      <c r="A30" s="10">
        <v>26</v>
      </c>
      <c r="B30" s="11" t="s">
        <v>59</v>
      </c>
      <c r="C30" s="11" t="s">
        <v>22</v>
      </c>
      <c r="D30" s="11" t="s">
        <v>60</v>
      </c>
      <c r="E30" s="11" t="s">
        <v>24</v>
      </c>
      <c r="F30" s="11">
        <v>9.5</v>
      </c>
      <c r="G30" s="13">
        <v>33</v>
      </c>
      <c r="H30" s="14">
        <f t="shared" si="24"/>
        <v>1.05555555555556</v>
      </c>
      <c r="I30" s="17">
        <f t="shared" si="25"/>
        <v>0.4125</v>
      </c>
      <c r="J30" s="34">
        <v>1.1</v>
      </c>
      <c r="K30" s="17">
        <f t="shared" si="0"/>
        <v>0.478958333333333</v>
      </c>
      <c r="L30" s="17">
        <f>SQRT(9.5*9.5+16.63*16.63)*33</f>
        <v>632.022716443009</v>
      </c>
      <c r="M30" s="11">
        <v>2.16</v>
      </c>
      <c r="N30" s="18">
        <f t="shared" si="1"/>
        <v>4</v>
      </c>
      <c r="O30" s="19">
        <f t="shared" si="2"/>
        <v>2236.25645833333</v>
      </c>
      <c r="P30" s="19">
        <f t="shared" si="3"/>
        <v>1038.4</v>
      </c>
      <c r="Q30" s="19">
        <f t="shared" si="4"/>
        <v>115</v>
      </c>
      <c r="R30" s="19">
        <f t="shared" si="5"/>
        <v>2155.6525194265</v>
      </c>
      <c r="S30" s="19">
        <f t="shared" si="6"/>
        <v>156.75</v>
      </c>
      <c r="T30" s="19">
        <f t="shared" si="7"/>
        <v>250</v>
      </c>
      <c r="U30" s="19">
        <f t="shared" si="8"/>
        <v>267.842653999192</v>
      </c>
      <c r="V30" s="19">
        <f t="shared" si="9"/>
        <v>559.791146858312</v>
      </c>
      <c r="W30" s="19">
        <f t="shared" si="10"/>
        <v>30.508617503778</v>
      </c>
      <c r="X30" s="19">
        <f t="shared" si="11"/>
        <v>6810.20139612112</v>
      </c>
    </row>
    <row r="31" s="26" customFormat="1" customHeight="1" spans="1:24">
      <c r="A31" s="10">
        <v>27</v>
      </c>
      <c r="B31" s="11" t="s">
        <v>61</v>
      </c>
      <c r="C31" s="11" t="s">
        <v>22</v>
      </c>
      <c r="D31" s="11" t="s">
        <v>58</v>
      </c>
      <c r="E31" s="11" t="s">
        <v>24</v>
      </c>
      <c r="F31" s="11">
        <v>12.03</v>
      </c>
      <c r="G31" s="13">
        <v>54</v>
      </c>
      <c r="H31" s="14">
        <f t="shared" si="24"/>
        <v>1.33666666666667</v>
      </c>
      <c r="I31" s="17">
        <f t="shared" si="25"/>
        <v>0.675</v>
      </c>
      <c r="J31" s="33">
        <v>1</v>
      </c>
      <c r="K31" s="17">
        <f t="shared" si="0"/>
        <v>0.90225</v>
      </c>
      <c r="L31" s="17">
        <f>SQRT(12.03*12.03+21.05*21.05)*54/2</f>
        <v>654.616879250757</v>
      </c>
      <c r="M31" s="11">
        <v>1.6</v>
      </c>
      <c r="N31" s="18">
        <f t="shared" si="1"/>
        <v>4</v>
      </c>
      <c r="O31" s="19">
        <f t="shared" si="2"/>
        <v>4212.60525</v>
      </c>
      <c r="P31" s="19">
        <f t="shared" si="3"/>
        <v>944</v>
      </c>
      <c r="Q31" s="19">
        <f t="shared" si="4"/>
        <v>115</v>
      </c>
      <c r="R31" s="19">
        <f t="shared" si="5"/>
        <v>2232.71488239814</v>
      </c>
      <c r="S31" s="19">
        <f t="shared" si="6"/>
        <v>324.81</v>
      </c>
      <c r="T31" s="19">
        <f t="shared" si="7"/>
        <v>250</v>
      </c>
      <c r="U31" s="19">
        <f t="shared" si="8"/>
        <v>363.560855957916</v>
      </c>
      <c r="V31" s="19">
        <f t="shared" si="9"/>
        <v>759.842188952045</v>
      </c>
      <c r="W31" s="19">
        <f t="shared" si="10"/>
        <v>41.4113992978865</v>
      </c>
      <c r="X31" s="19">
        <f t="shared" si="11"/>
        <v>9243.94457660599</v>
      </c>
    </row>
    <row r="32" s="26" customFormat="1" customHeight="1" spans="1:24">
      <c r="A32" s="10">
        <v>28</v>
      </c>
      <c r="B32" s="11" t="s">
        <v>62</v>
      </c>
      <c r="C32" s="11" t="s">
        <v>22</v>
      </c>
      <c r="D32" s="11" t="s">
        <v>26</v>
      </c>
      <c r="E32" s="11" t="s">
        <v>24</v>
      </c>
      <c r="F32" s="11">
        <v>12.27</v>
      </c>
      <c r="G32" s="13">
        <v>30</v>
      </c>
      <c r="H32" s="14">
        <f t="shared" si="22"/>
        <v>1.53375</v>
      </c>
      <c r="I32" s="17">
        <f t="shared" si="23"/>
        <v>0.428571428571429</v>
      </c>
      <c r="J32" s="33">
        <v>1</v>
      </c>
      <c r="K32" s="17">
        <f t="shared" si="0"/>
        <v>0.657321428571429</v>
      </c>
      <c r="L32" s="17">
        <f>SQRT(12.27*12.27+21.47*21.47)*30/2</f>
        <v>370.932075992357</v>
      </c>
      <c r="M32" s="11">
        <v>0.8</v>
      </c>
      <c r="N32" s="18">
        <f t="shared" si="1"/>
        <v>5</v>
      </c>
      <c r="O32" s="19">
        <f t="shared" si="2"/>
        <v>2422.88678571429</v>
      </c>
      <c r="P32" s="19">
        <f t="shared" si="3"/>
        <v>624</v>
      </c>
      <c r="Q32" s="19">
        <f t="shared" si="4"/>
        <v>58</v>
      </c>
      <c r="R32" s="19">
        <f t="shared" si="5"/>
        <v>1265.14545022865</v>
      </c>
      <c r="S32" s="19">
        <f t="shared" si="6"/>
        <v>184.05</v>
      </c>
      <c r="T32" s="19">
        <f t="shared" si="7"/>
        <v>250</v>
      </c>
      <c r="U32" s="19">
        <f t="shared" si="8"/>
        <v>216.183700617432</v>
      </c>
      <c r="V32" s="19">
        <f t="shared" si="9"/>
        <v>451.823934290433</v>
      </c>
      <c r="W32" s="19">
        <f t="shared" si="10"/>
        <v>24.6244044188286</v>
      </c>
      <c r="X32" s="19">
        <f t="shared" si="11"/>
        <v>5496.71427526963</v>
      </c>
    </row>
    <row r="33" s="26" customFormat="1" customHeight="1" spans="1:24">
      <c r="A33" s="10">
        <v>29</v>
      </c>
      <c r="B33" s="11" t="s">
        <v>63</v>
      </c>
      <c r="C33" s="11" t="s">
        <v>22</v>
      </c>
      <c r="D33" s="11" t="s">
        <v>23</v>
      </c>
      <c r="E33" s="11" t="s">
        <v>24</v>
      </c>
      <c r="F33" s="11">
        <v>9.9</v>
      </c>
      <c r="G33" s="13">
        <v>39.68</v>
      </c>
      <c r="H33" s="14">
        <f t="shared" si="22"/>
        <v>1.2375</v>
      </c>
      <c r="I33" s="17">
        <f t="shared" si="23"/>
        <v>0.566857142857143</v>
      </c>
      <c r="J33" s="33">
        <v>1</v>
      </c>
      <c r="K33" s="17">
        <f t="shared" si="0"/>
        <v>0.701485714285714</v>
      </c>
      <c r="L33" s="17">
        <f>SQRT(6.8*6.8+15.64*15.64)*37.1</f>
        <v>632.71502110824</v>
      </c>
      <c r="M33" s="11">
        <v>0.58</v>
      </c>
      <c r="N33" s="18">
        <f t="shared" si="1"/>
        <v>5</v>
      </c>
      <c r="O33" s="19">
        <f t="shared" si="2"/>
        <v>2585.67634285714</v>
      </c>
      <c r="P33" s="19">
        <f t="shared" si="3"/>
        <v>624</v>
      </c>
      <c r="Q33" s="19">
        <f t="shared" si="4"/>
        <v>58</v>
      </c>
      <c r="R33" s="19">
        <f t="shared" si="5"/>
        <v>2158.0137767943</v>
      </c>
      <c r="S33" s="19">
        <f t="shared" si="6"/>
        <v>196.416</v>
      </c>
      <c r="T33" s="19">
        <f t="shared" si="7"/>
        <v>250</v>
      </c>
      <c r="U33" s="19">
        <f t="shared" si="8"/>
        <v>264.244775384315</v>
      </c>
      <c r="V33" s="19">
        <f t="shared" si="9"/>
        <v>552.271580553218</v>
      </c>
      <c r="W33" s="19">
        <f t="shared" si="10"/>
        <v>30.0988011401504</v>
      </c>
      <c r="X33" s="19">
        <f t="shared" si="11"/>
        <v>6718.72127672912</v>
      </c>
    </row>
    <row r="34" s="26" customFormat="1" customHeight="1" spans="1:24">
      <c r="A34" s="10">
        <v>30</v>
      </c>
      <c r="B34" s="11" t="s">
        <v>64</v>
      </c>
      <c r="C34" s="11" t="s">
        <v>22</v>
      </c>
      <c r="D34" s="11" t="s">
        <v>45</v>
      </c>
      <c r="E34" s="11" t="s">
        <v>24</v>
      </c>
      <c r="F34" s="11">
        <v>11.23</v>
      </c>
      <c r="G34" s="13">
        <v>63.3</v>
      </c>
      <c r="H34" s="14">
        <f t="shared" ref="H34:H39" si="26">1+(F34-9)/9</f>
        <v>1.24777777777778</v>
      </c>
      <c r="I34" s="17">
        <f t="shared" ref="I34:I39" si="27">1+(G34-80)/8/10</f>
        <v>0.79125</v>
      </c>
      <c r="J34" s="33">
        <v>1</v>
      </c>
      <c r="K34" s="17">
        <f t="shared" si="0"/>
        <v>0.987304166666667</v>
      </c>
      <c r="L34" s="17">
        <f>SQRT(11.23*11.23+25.83*25.83)*63.3</f>
        <v>1782.88335271885</v>
      </c>
      <c r="M34" s="11">
        <v>1.25</v>
      </c>
      <c r="N34" s="18">
        <f t="shared" si="1"/>
        <v>4</v>
      </c>
      <c r="O34" s="19">
        <f t="shared" si="2"/>
        <v>4609.72315416667</v>
      </c>
      <c r="P34" s="19">
        <f t="shared" si="3"/>
        <v>944</v>
      </c>
      <c r="Q34" s="19">
        <f t="shared" si="4"/>
        <v>115</v>
      </c>
      <c r="R34" s="19">
        <f t="shared" si="5"/>
        <v>6080.91590878523</v>
      </c>
      <c r="S34" s="19">
        <f t="shared" si="6"/>
        <v>355.4295</v>
      </c>
      <c r="T34" s="19">
        <f t="shared" si="7"/>
        <v>250</v>
      </c>
      <c r="U34" s="19">
        <f t="shared" si="8"/>
        <v>555.978085332835</v>
      </c>
      <c r="V34" s="19">
        <f t="shared" si="9"/>
        <v>1161.99419834563</v>
      </c>
      <c r="W34" s="19">
        <f t="shared" si="10"/>
        <v>63.3286838098366</v>
      </c>
      <c r="X34" s="19">
        <f t="shared" si="11"/>
        <v>14136.3695304402</v>
      </c>
    </row>
    <row r="35" s="26" customFormat="1" customHeight="1" spans="1:24">
      <c r="A35" s="10">
        <v>31</v>
      </c>
      <c r="B35" s="11" t="s">
        <v>65</v>
      </c>
      <c r="C35" s="11" t="s">
        <v>22</v>
      </c>
      <c r="D35" s="11" t="s">
        <v>45</v>
      </c>
      <c r="E35" s="11" t="s">
        <v>24</v>
      </c>
      <c r="F35" s="11">
        <v>7</v>
      </c>
      <c r="G35" s="13">
        <v>40.6</v>
      </c>
      <c r="H35" s="14">
        <f t="shared" si="26"/>
        <v>0.777777777777778</v>
      </c>
      <c r="I35" s="17">
        <f t="shared" si="27"/>
        <v>0.5075</v>
      </c>
      <c r="J35" s="33">
        <v>1</v>
      </c>
      <c r="K35" s="17">
        <f t="shared" si="0"/>
        <v>0.394722222222222</v>
      </c>
      <c r="L35" s="17">
        <f>SQRT(7*7+12.25*12.25)*40.6</f>
        <v>572.823413016612</v>
      </c>
      <c r="M35" s="11">
        <v>0.8</v>
      </c>
      <c r="N35" s="18">
        <f t="shared" si="1"/>
        <v>5</v>
      </c>
      <c r="O35" s="19">
        <f t="shared" si="2"/>
        <v>1454.94611111111</v>
      </c>
      <c r="P35" s="19">
        <f t="shared" si="3"/>
        <v>624</v>
      </c>
      <c r="Q35" s="19">
        <f t="shared" si="4"/>
        <v>58</v>
      </c>
      <c r="R35" s="19">
        <f t="shared" si="5"/>
        <v>1953.74027124402</v>
      </c>
      <c r="S35" s="19">
        <f t="shared" si="6"/>
        <v>142.1</v>
      </c>
      <c r="T35" s="19">
        <f t="shared" si="7"/>
        <v>250</v>
      </c>
      <c r="U35" s="19">
        <f t="shared" si="8"/>
        <v>201.725387205981</v>
      </c>
      <c r="V35" s="19">
        <f t="shared" si="9"/>
        <v>421.6060592605</v>
      </c>
      <c r="W35" s="19">
        <f t="shared" si="10"/>
        <v>22.9775302296973</v>
      </c>
      <c r="X35" s="19">
        <f t="shared" si="11"/>
        <v>5129.09535905131</v>
      </c>
    </row>
    <row r="36" s="26" customFormat="1" customHeight="1" spans="1:24">
      <c r="A36" s="10">
        <v>32</v>
      </c>
      <c r="B36" s="11" t="s">
        <v>66</v>
      </c>
      <c r="C36" s="11" t="s">
        <v>22</v>
      </c>
      <c r="D36" s="11" t="s">
        <v>26</v>
      </c>
      <c r="E36" s="11" t="s">
        <v>24</v>
      </c>
      <c r="F36" s="11">
        <v>7.84</v>
      </c>
      <c r="G36" s="13">
        <v>16.31</v>
      </c>
      <c r="H36" s="14">
        <f>1+(F36-8)/8</f>
        <v>0.98</v>
      </c>
      <c r="I36" s="17">
        <f>1+(G36-70)/7/10</f>
        <v>0.233</v>
      </c>
      <c r="J36" s="33">
        <v>1</v>
      </c>
      <c r="K36" s="17">
        <f t="shared" si="0"/>
        <v>0.22834</v>
      </c>
      <c r="L36" s="17">
        <f>SQRT(7.84*7.84+14.66*14.66)*16.31</f>
        <v>271.14912675006</v>
      </c>
      <c r="M36" s="11">
        <v>0.21</v>
      </c>
      <c r="N36" s="18">
        <f t="shared" si="1"/>
        <v>5</v>
      </c>
      <c r="O36" s="19">
        <f t="shared" si="2"/>
        <v>841.66124</v>
      </c>
      <c r="P36" s="19">
        <f t="shared" si="3"/>
        <v>624</v>
      </c>
      <c r="Q36" s="19">
        <f t="shared" si="4"/>
        <v>58</v>
      </c>
      <c r="R36" s="19">
        <f t="shared" si="5"/>
        <v>924.813749588964</v>
      </c>
      <c r="S36" s="19">
        <f t="shared" si="6"/>
        <v>63.9352</v>
      </c>
      <c r="T36" s="19">
        <f t="shared" si="7"/>
        <v>250</v>
      </c>
      <c r="U36" s="19">
        <f t="shared" si="8"/>
        <v>124.308458531503</v>
      </c>
      <c r="V36" s="19">
        <f t="shared" si="9"/>
        <v>259.804678330842</v>
      </c>
      <c r="W36" s="19">
        <f t="shared" si="10"/>
        <v>14.1593549690309</v>
      </c>
      <c r="X36" s="19">
        <f t="shared" si="11"/>
        <v>3160.68268142034</v>
      </c>
    </row>
    <row r="37" s="26" customFormat="1" customHeight="1" spans="1:24">
      <c r="A37" s="10">
        <v>33</v>
      </c>
      <c r="B37" s="11" t="s">
        <v>67</v>
      </c>
      <c r="C37" s="11" t="s">
        <v>22</v>
      </c>
      <c r="D37" s="11" t="s">
        <v>36</v>
      </c>
      <c r="E37" s="11" t="s">
        <v>24</v>
      </c>
      <c r="F37" s="11">
        <v>9.75</v>
      </c>
      <c r="G37" s="13">
        <v>57</v>
      </c>
      <c r="H37" s="14">
        <f>1+(F37-8)/8</f>
        <v>1.21875</v>
      </c>
      <c r="I37" s="17">
        <f>1+(G37-70)/7/10</f>
        <v>0.814285714285714</v>
      </c>
      <c r="J37" s="33">
        <v>1</v>
      </c>
      <c r="K37" s="17">
        <f t="shared" si="0"/>
        <v>0.992410714285714</v>
      </c>
      <c r="L37" s="17">
        <f>SQRT(9.75*9.75+17.06*17.06)*57</f>
        <v>1120.02621348788</v>
      </c>
      <c r="M37" s="11">
        <v>1</v>
      </c>
      <c r="N37" s="18">
        <f t="shared" si="1"/>
        <v>5</v>
      </c>
      <c r="O37" s="19">
        <f t="shared" si="2"/>
        <v>3658.02589285714</v>
      </c>
      <c r="P37" s="19">
        <f t="shared" si="3"/>
        <v>624</v>
      </c>
      <c r="Q37" s="19">
        <f t="shared" si="4"/>
        <v>58</v>
      </c>
      <c r="R37" s="19">
        <f t="shared" si="5"/>
        <v>3820.09580686738</v>
      </c>
      <c r="S37" s="19">
        <f t="shared" si="6"/>
        <v>277.875</v>
      </c>
      <c r="T37" s="19">
        <f t="shared" si="7"/>
        <v>250</v>
      </c>
      <c r="U37" s="19">
        <f t="shared" si="8"/>
        <v>390.959851487604</v>
      </c>
      <c r="V37" s="19">
        <f t="shared" si="9"/>
        <v>817.106089609092</v>
      </c>
      <c r="W37" s="19">
        <f t="shared" si="10"/>
        <v>44.5322818836955</v>
      </c>
      <c r="X37" s="19">
        <f t="shared" si="11"/>
        <v>9940.59492270492</v>
      </c>
    </row>
    <row r="38" s="26" customFormat="1" customHeight="1" spans="1:24">
      <c r="A38" s="10">
        <v>34</v>
      </c>
      <c r="B38" s="11" t="s">
        <v>68</v>
      </c>
      <c r="C38" s="11" t="s">
        <v>22</v>
      </c>
      <c r="D38" s="11" t="s">
        <v>36</v>
      </c>
      <c r="E38" s="11" t="s">
        <v>24</v>
      </c>
      <c r="F38" s="11">
        <v>6</v>
      </c>
      <c r="G38" s="13">
        <v>45.1</v>
      </c>
      <c r="H38" s="14">
        <f t="shared" si="26"/>
        <v>0.666666666666667</v>
      </c>
      <c r="I38" s="17">
        <f t="shared" si="27"/>
        <v>0.56375</v>
      </c>
      <c r="J38" s="33">
        <v>1</v>
      </c>
      <c r="K38" s="17">
        <f t="shared" si="0"/>
        <v>0.375833333333333</v>
      </c>
      <c r="L38" s="17">
        <f>SQRT(9*9+15.75*15.75)*44</f>
        <v>798.163517081556</v>
      </c>
      <c r="M38" s="11">
        <v>1</v>
      </c>
      <c r="N38" s="18">
        <f t="shared" si="1"/>
        <v>5</v>
      </c>
      <c r="O38" s="19">
        <f t="shared" si="2"/>
        <v>1385.32166666667</v>
      </c>
      <c r="P38" s="19">
        <f t="shared" si="3"/>
        <v>624</v>
      </c>
      <c r="Q38" s="19">
        <f t="shared" si="4"/>
        <v>58</v>
      </c>
      <c r="R38" s="19">
        <f t="shared" si="5"/>
        <v>2722.31227098041</v>
      </c>
      <c r="S38" s="19">
        <f t="shared" si="6"/>
        <v>135.3</v>
      </c>
      <c r="T38" s="19">
        <f t="shared" si="7"/>
        <v>250</v>
      </c>
      <c r="U38" s="19">
        <f t="shared" si="8"/>
        <v>232.872027194118</v>
      </c>
      <c r="V38" s="19">
        <f t="shared" si="9"/>
        <v>486.702536835707</v>
      </c>
      <c r="W38" s="19">
        <f t="shared" si="10"/>
        <v>26.525288257546</v>
      </c>
      <c r="X38" s="19">
        <f t="shared" si="11"/>
        <v>5921.03378993444</v>
      </c>
    </row>
    <row r="39" s="26" customFormat="1" customHeight="1" spans="1:24">
      <c r="A39" s="10">
        <v>35</v>
      </c>
      <c r="B39" s="11" t="s">
        <v>69</v>
      </c>
      <c r="C39" s="11" t="s">
        <v>22</v>
      </c>
      <c r="D39" s="11" t="s">
        <v>23</v>
      </c>
      <c r="E39" s="11" t="s">
        <v>24</v>
      </c>
      <c r="F39" s="11">
        <v>10.1</v>
      </c>
      <c r="G39" s="13">
        <v>42</v>
      </c>
      <c r="H39" s="14">
        <f t="shared" si="26"/>
        <v>1.12222222222222</v>
      </c>
      <c r="I39" s="17">
        <f t="shared" si="27"/>
        <v>0.525</v>
      </c>
      <c r="J39" s="33">
        <v>1</v>
      </c>
      <c r="K39" s="17">
        <f t="shared" si="0"/>
        <v>0.589166666666667</v>
      </c>
      <c r="L39" s="17">
        <f>SQRT(10.1*10.1+17.68*17.68)*42</f>
        <v>855.184771613714</v>
      </c>
      <c r="M39" s="11">
        <v>1.6</v>
      </c>
      <c r="N39" s="18">
        <f t="shared" si="1"/>
        <v>4</v>
      </c>
      <c r="O39" s="19">
        <f t="shared" si="2"/>
        <v>2750.81916666667</v>
      </c>
      <c r="P39" s="19">
        <f t="shared" si="3"/>
        <v>944</v>
      </c>
      <c r="Q39" s="19">
        <f t="shared" si="4"/>
        <v>115</v>
      </c>
      <c r="R39" s="19">
        <f t="shared" si="5"/>
        <v>2916.79580423833</v>
      </c>
      <c r="S39" s="19">
        <f t="shared" si="6"/>
        <v>212.1</v>
      </c>
      <c r="T39" s="19">
        <f t="shared" si="7"/>
        <v>250</v>
      </c>
      <c r="U39" s="19">
        <f t="shared" si="8"/>
        <v>323.492173690725</v>
      </c>
      <c r="V39" s="19">
        <f t="shared" si="9"/>
        <v>676.098643013615</v>
      </c>
      <c r="W39" s="19">
        <f t="shared" si="10"/>
        <v>36.847376044242</v>
      </c>
      <c r="X39" s="19">
        <f t="shared" si="11"/>
        <v>8225.15316365357</v>
      </c>
    </row>
    <row r="40" s="26" customFormat="1" customHeight="1" spans="1:24">
      <c r="A40" s="10">
        <v>36</v>
      </c>
      <c r="B40" s="11" t="s">
        <v>70</v>
      </c>
      <c r="C40" s="11" t="s">
        <v>22</v>
      </c>
      <c r="D40" s="11" t="s">
        <v>45</v>
      </c>
      <c r="E40" s="11" t="s">
        <v>24</v>
      </c>
      <c r="F40" s="11">
        <v>15.5</v>
      </c>
      <c r="G40" s="13">
        <v>66.34</v>
      </c>
      <c r="H40" s="14">
        <f>1+(F40-13)/13</f>
        <v>1.19230769230769</v>
      </c>
      <c r="I40" s="17">
        <f>1+(G40-100)/10/10</f>
        <v>0.6634</v>
      </c>
      <c r="J40" s="33">
        <v>1</v>
      </c>
      <c r="K40" s="17">
        <f t="shared" si="0"/>
        <v>0.790976923076923</v>
      </c>
      <c r="L40" s="17">
        <f>SQRT(13*13+24.05*24.05)*65.5</f>
        <v>1790.68243293583</v>
      </c>
      <c r="M40" s="11">
        <v>6.2</v>
      </c>
      <c r="N40" s="18">
        <f t="shared" si="1"/>
        <v>2</v>
      </c>
      <c r="O40" s="19">
        <f t="shared" si="2"/>
        <v>5928.37203846154</v>
      </c>
      <c r="P40" s="19">
        <f t="shared" si="3"/>
        <v>1756</v>
      </c>
      <c r="Q40" s="19">
        <f t="shared" si="4"/>
        <v>230</v>
      </c>
      <c r="R40" s="19">
        <f t="shared" si="5"/>
        <v>6107.51638766291</v>
      </c>
      <c r="S40" s="19">
        <f t="shared" si="6"/>
        <v>514.135</v>
      </c>
      <c r="T40" s="19">
        <f t="shared" si="7"/>
        <v>250</v>
      </c>
      <c r="U40" s="19">
        <f t="shared" si="8"/>
        <v>665.3710541756</v>
      </c>
      <c r="V40" s="19">
        <f t="shared" si="9"/>
        <v>1390.625503227</v>
      </c>
      <c r="W40" s="19">
        <f t="shared" si="10"/>
        <v>75.7890899258717</v>
      </c>
      <c r="X40" s="19">
        <f t="shared" si="11"/>
        <v>16917.8090734529</v>
      </c>
    </row>
    <row r="41" s="26" customFormat="1" customHeight="1" spans="1:24">
      <c r="A41" s="10">
        <v>37</v>
      </c>
      <c r="B41" s="11" t="s">
        <v>71</v>
      </c>
      <c r="C41" s="11" t="s">
        <v>72</v>
      </c>
      <c r="D41" s="11" t="s">
        <v>73</v>
      </c>
      <c r="E41" s="11" t="s">
        <v>24</v>
      </c>
      <c r="F41" s="11">
        <v>16.3</v>
      </c>
      <c r="G41" s="13">
        <v>40.6</v>
      </c>
      <c r="H41" s="14">
        <f t="shared" ref="H41:H49" si="28">1+(F41-9)/9</f>
        <v>1.81111111111111</v>
      </c>
      <c r="I41" s="17">
        <f t="shared" ref="I41:I49" si="29">1+(G41-80)/8/10</f>
        <v>0.5075</v>
      </c>
      <c r="J41" s="33">
        <v>1</v>
      </c>
      <c r="K41" s="17">
        <f t="shared" si="0"/>
        <v>0.919138888888889</v>
      </c>
      <c r="L41" s="17">
        <f>SQRT(16.3*16.3+28.53*28.53)*40.6/2</f>
        <v>667.018245163504</v>
      </c>
      <c r="M41" s="11">
        <v>1.2</v>
      </c>
      <c r="N41" s="18">
        <f t="shared" si="1"/>
        <v>4</v>
      </c>
      <c r="O41" s="19">
        <f t="shared" si="2"/>
        <v>4291.45947222222</v>
      </c>
      <c r="P41" s="19">
        <f t="shared" si="3"/>
        <v>944</v>
      </c>
      <c r="Q41" s="19">
        <f t="shared" si="4"/>
        <v>115</v>
      </c>
      <c r="R41" s="19">
        <f t="shared" si="5"/>
        <v>2275.01246914407</v>
      </c>
      <c r="S41" s="19">
        <f t="shared" si="6"/>
        <v>330.89</v>
      </c>
      <c r="T41" s="19">
        <f t="shared" si="7"/>
        <v>250</v>
      </c>
      <c r="U41" s="19">
        <f t="shared" si="8"/>
        <v>369.286287361483</v>
      </c>
      <c r="V41" s="19">
        <f t="shared" si="9"/>
        <v>771.808340585499</v>
      </c>
      <c r="W41" s="19">
        <f t="shared" si="10"/>
        <v>42.0635545619097</v>
      </c>
      <c r="X41" s="19">
        <f t="shared" si="11"/>
        <v>9389.52012387518</v>
      </c>
    </row>
    <row r="42" s="26" customFormat="1" customHeight="1" spans="1:24">
      <c r="A42" s="10">
        <v>38</v>
      </c>
      <c r="B42" s="11" t="s">
        <v>74</v>
      </c>
      <c r="C42" s="11" t="s">
        <v>72</v>
      </c>
      <c r="D42" s="11" t="s">
        <v>75</v>
      </c>
      <c r="E42" s="11" t="s">
        <v>24</v>
      </c>
      <c r="F42" s="11">
        <v>8</v>
      </c>
      <c r="G42" s="13">
        <v>40</v>
      </c>
      <c r="H42" s="14">
        <f t="shared" si="28"/>
        <v>0.888888888888889</v>
      </c>
      <c r="I42" s="17">
        <f t="shared" si="29"/>
        <v>0.5</v>
      </c>
      <c r="J42" s="33">
        <v>1</v>
      </c>
      <c r="K42" s="17">
        <f t="shared" si="0"/>
        <v>0.444444444444444</v>
      </c>
      <c r="L42" s="17">
        <f>SQRT(8*8+14*14)*40/2</f>
        <v>322.490309931942</v>
      </c>
      <c r="M42" s="11">
        <v>2.05</v>
      </c>
      <c r="N42" s="18">
        <f t="shared" si="1"/>
        <v>4</v>
      </c>
      <c r="O42" s="19">
        <f t="shared" si="2"/>
        <v>2075.11111111111</v>
      </c>
      <c r="P42" s="19">
        <f t="shared" si="3"/>
        <v>944</v>
      </c>
      <c r="Q42" s="19">
        <f t="shared" si="4"/>
        <v>115</v>
      </c>
      <c r="R42" s="19">
        <f t="shared" si="5"/>
        <v>1099.92414989107</v>
      </c>
      <c r="S42" s="19">
        <f t="shared" si="6"/>
        <v>160</v>
      </c>
      <c r="T42" s="19">
        <f t="shared" si="7"/>
        <v>250</v>
      </c>
      <c r="U42" s="19">
        <f t="shared" si="8"/>
        <v>208.981586745098</v>
      </c>
      <c r="V42" s="19">
        <f t="shared" si="9"/>
        <v>436.771516297255</v>
      </c>
      <c r="W42" s="19">
        <f t="shared" si="10"/>
        <v>23.8040476382004</v>
      </c>
      <c r="X42" s="19">
        <f t="shared" si="11"/>
        <v>5313.59241168274</v>
      </c>
    </row>
    <row r="43" s="26" customFormat="1" customHeight="1" spans="1:24">
      <c r="A43" s="10">
        <v>39</v>
      </c>
      <c r="B43" s="11" t="s">
        <v>76</v>
      </c>
      <c r="C43" s="11" t="s">
        <v>72</v>
      </c>
      <c r="D43" s="11" t="s">
        <v>75</v>
      </c>
      <c r="E43" s="11" t="s">
        <v>24</v>
      </c>
      <c r="F43" s="11">
        <v>13</v>
      </c>
      <c r="G43" s="13">
        <v>48</v>
      </c>
      <c r="H43" s="14">
        <f t="shared" si="28"/>
        <v>1.44444444444444</v>
      </c>
      <c r="I43" s="17">
        <f t="shared" si="29"/>
        <v>0.6</v>
      </c>
      <c r="J43" s="33">
        <v>1</v>
      </c>
      <c r="K43" s="17">
        <f t="shared" si="0"/>
        <v>0.866666666666667</v>
      </c>
      <c r="L43" s="17">
        <f>SQRT(13*13+32.5*32.5)*48/4</f>
        <v>420.042854956491</v>
      </c>
      <c r="M43" s="11">
        <v>2.1</v>
      </c>
      <c r="N43" s="18">
        <f t="shared" si="1"/>
        <v>4</v>
      </c>
      <c r="O43" s="19">
        <f t="shared" si="2"/>
        <v>4046.46666666667</v>
      </c>
      <c r="P43" s="19">
        <f t="shared" si="3"/>
        <v>944</v>
      </c>
      <c r="Q43" s="19">
        <f t="shared" si="4"/>
        <v>115</v>
      </c>
      <c r="R43" s="19">
        <f t="shared" si="5"/>
        <v>1432.6485662572</v>
      </c>
      <c r="S43" s="19">
        <f t="shared" si="6"/>
        <v>312</v>
      </c>
      <c r="T43" s="19">
        <f t="shared" si="7"/>
        <v>250</v>
      </c>
      <c r="U43" s="19">
        <f t="shared" si="8"/>
        <v>319.505185481574</v>
      </c>
      <c r="V43" s="19">
        <f t="shared" si="9"/>
        <v>667.76583765649</v>
      </c>
      <c r="W43" s="19">
        <f t="shared" si="10"/>
        <v>36.3932381522787</v>
      </c>
      <c r="X43" s="19">
        <f t="shared" si="11"/>
        <v>8123.77949421421</v>
      </c>
    </row>
    <row r="44" s="26" customFormat="1" customHeight="1" spans="1:24">
      <c r="A44" s="10">
        <v>40</v>
      </c>
      <c r="B44" s="11" t="s">
        <v>77</v>
      </c>
      <c r="C44" s="11" t="s">
        <v>72</v>
      </c>
      <c r="D44" s="11" t="s">
        <v>78</v>
      </c>
      <c r="E44" s="11" t="s">
        <v>24</v>
      </c>
      <c r="F44" s="11">
        <v>7.42</v>
      </c>
      <c r="G44" s="13">
        <v>49</v>
      </c>
      <c r="H44" s="14">
        <f t="shared" si="28"/>
        <v>0.824444444444444</v>
      </c>
      <c r="I44" s="17">
        <f t="shared" si="29"/>
        <v>0.6125</v>
      </c>
      <c r="J44" s="33">
        <v>1</v>
      </c>
      <c r="K44" s="17">
        <f t="shared" si="0"/>
        <v>0.504972222222222</v>
      </c>
      <c r="L44" s="17">
        <f>SQRT(7.42*7.42+12.99*12.99)*49/2</f>
        <v>366.515823839845</v>
      </c>
      <c r="M44" s="11">
        <v>1.08</v>
      </c>
      <c r="N44" s="18">
        <f t="shared" si="1"/>
        <v>4</v>
      </c>
      <c r="O44" s="19">
        <f t="shared" si="2"/>
        <v>2357.71530555556</v>
      </c>
      <c r="P44" s="19">
        <f t="shared" si="3"/>
        <v>944</v>
      </c>
      <c r="Q44" s="19">
        <f t="shared" si="4"/>
        <v>115</v>
      </c>
      <c r="R44" s="19">
        <f t="shared" si="5"/>
        <v>1250.08285068703</v>
      </c>
      <c r="S44" s="19">
        <f t="shared" si="6"/>
        <v>181.79</v>
      </c>
      <c r="T44" s="19">
        <f t="shared" si="7"/>
        <v>250</v>
      </c>
      <c r="U44" s="19">
        <f t="shared" si="8"/>
        <v>229.436467030917</v>
      </c>
      <c r="V44" s="19">
        <f t="shared" si="9"/>
        <v>479.522216094616</v>
      </c>
      <c r="W44" s="19">
        <f t="shared" si="10"/>
        <v>26.1339607771566</v>
      </c>
      <c r="X44" s="19">
        <f t="shared" si="11"/>
        <v>5833.68080014528</v>
      </c>
    </row>
    <row r="45" s="26" customFormat="1" customHeight="1" spans="1:24">
      <c r="A45" s="10">
        <v>41</v>
      </c>
      <c r="B45" s="11" t="s">
        <v>79</v>
      </c>
      <c r="C45" s="11" t="s">
        <v>72</v>
      </c>
      <c r="D45" s="11" t="s">
        <v>80</v>
      </c>
      <c r="E45" s="11" t="s">
        <v>24</v>
      </c>
      <c r="F45" s="11">
        <v>5.4</v>
      </c>
      <c r="G45" s="13">
        <v>55</v>
      </c>
      <c r="H45" s="14">
        <f t="shared" si="28"/>
        <v>0.6</v>
      </c>
      <c r="I45" s="17">
        <f t="shared" si="29"/>
        <v>0.6875</v>
      </c>
      <c r="J45" s="33">
        <v>1</v>
      </c>
      <c r="K45" s="17">
        <f t="shared" si="0"/>
        <v>0.4125</v>
      </c>
      <c r="L45" s="17">
        <f>SQRT(5.4*5.4+9.45*9.45)*55/2</f>
        <v>299.311318905584</v>
      </c>
      <c r="M45" s="11">
        <v>1.4</v>
      </c>
      <c r="N45" s="18">
        <f t="shared" si="1"/>
        <v>4</v>
      </c>
      <c r="O45" s="19">
        <f t="shared" si="2"/>
        <v>1925.9625</v>
      </c>
      <c r="P45" s="19">
        <f t="shared" si="3"/>
        <v>944</v>
      </c>
      <c r="Q45" s="19">
        <f t="shared" si="4"/>
        <v>115</v>
      </c>
      <c r="R45" s="19">
        <f t="shared" si="5"/>
        <v>1020.86710161765</v>
      </c>
      <c r="S45" s="19">
        <f t="shared" si="6"/>
        <v>148.5</v>
      </c>
      <c r="T45" s="19">
        <f t="shared" si="7"/>
        <v>250</v>
      </c>
      <c r="U45" s="19">
        <f t="shared" si="8"/>
        <v>198.194832072794</v>
      </c>
      <c r="V45" s="19">
        <f t="shared" si="9"/>
        <v>414.22719903214</v>
      </c>
      <c r="W45" s="19">
        <f t="shared" si="10"/>
        <v>22.5753823472516</v>
      </c>
      <c r="X45" s="19">
        <f t="shared" si="11"/>
        <v>5039.32701506984</v>
      </c>
    </row>
    <row r="46" s="26" customFormat="1" customHeight="1" spans="1:24">
      <c r="A46" s="10">
        <v>42</v>
      </c>
      <c r="B46" s="11" t="s">
        <v>81</v>
      </c>
      <c r="C46" s="11" t="s">
        <v>72</v>
      </c>
      <c r="D46" s="11" t="s">
        <v>80</v>
      </c>
      <c r="E46" s="11" t="s">
        <v>24</v>
      </c>
      <c r="F46" s="11">
        <v>8.85</v>
      </c>
      <c r="G46" s="13">
        <v>41</v>
      </c>
      <c r="H46" s="14">
        <f t="shared" si="28"/>
        <v>0.983333333333333</v>
      </c>
      <c r="I46" s="17">
        <f t="shared" si="29"/>
        <v>0.5125</v>
      </c>
      <c r="J46" s="33">
        <v>1</v>
      </c>
      <c r="K46" s="17">
        <f t="shared" si="0"/>
        <v>0.503958333333333</v>
      </c>
      <c r="L46" s="17">
        <f>SQRT(8.85*8.85+17.7*17.7)*41/2</f>
        <v>405.678632817899</v>
      </c>
      <c r="M46" s="11">
        <v>0.96</v>
      </c>
      <c r="N46" s="18">
        <f t="shared" si="1"/>
        <v>5</v>
      </c>
      <c r="O46" s="19">
        <f t="shared" si="2"/>
        <v>1857.59041666667</v>
      </c>
      <c r="P46" s="19">
        <f t="shared" si="3"/>
        <v>624</v>
      </c>
      <c r="Q46" s="19">
        <f t="shared" si="4"/>
        <v>58</v>
      </c>
      <c r="R46" s="19">
        <f t="shared" si="5"/>
        <v>1383.65622652467</v>
      </c>
      <c r="S46" s="19">
        <f t="shared" si="6"/>
        <v>181.425</v>
      </c>
      <c r="T46" s="19">
        <f t="shared" si="7"/>
        <v>250</v>
      </c>
      <c r="U46" s="19">
        <f t="shared" si="8"/>
        <v>195.96022394361</v>
      </c>
      <c r="V46" s="19">
        <f t="shared" si="9"/>
        <v>409.556868042145</v>
      </c>
      <c r="W46" s="19">
        <f t="shared" si="10"/>
        <v>22.3208493082969</v>
      </c>
      <c r="X46" s="19">
        <f t="shared" si="11"/>
        <v>4982.50958448538</v>
      </c>
    </row>
    <row r="47" s="26" customFormat="1" customHeight="1" spans="1:24">
      <c r="A47" s="10">
        <v>43</v>
      </c>
      <c r="B47" s="11" t="s">
        <v>82</v>
      </c>
      <c r="C47" s="11" t="s">
        <v>72</v>
      </c>
      <c r="D47" s="11" t="s">
        <v>83</v>
      </c>
      <c r="E47" s="11" t="s">
        <v>24</v>
      </c>
      <c r="F47" s="11">
        <v>13.5</v>
      </c>
      <c r="G47" s="13">
        <v>36</v>
      </c>
      <c r="H47" s="14">
        <f t="shared" si="28"/>
        <v>1.5</v>
      </c>
      <c r="I47" s="17">
        <f t="shared" si="29"/>
        <v>0.45</v>
      </c>
      <c r="J47" s="33">
        <v>1</v>
      </c>
      <c r="K47" s="17">
        <f t="shared" si="0"/>
        <v>0.675</v>
      </c>
      <c r="L47" s="17">
        <f>SQRT(13.5*13.5+23.63*23.63)*36/2</f>
        <v>489.860302127045</v>
      </c>
      <c r="M47" s="11">
        <v>1.4</v>
      </c>
      <c r="N47" s="18">
        <f t="shared" si="1"/>
        <v>4</v>
      </c>
      <c r="O47" s="19">
        <f t="shared" si="2"/>
        <v>3151.575</v>
      </c>
      <c r="P47" s="19">
        <f t="shared" si="3"/>
        <v>944</v>
      </c>
      <c r="Q47" s="19">
        <f t="shared" si="4"/>
        <v>115</v>
      </c>
      <c r="R47" s="19">
        <f t="shared" si="5"/>
        <v>1670.77632967076</v>
      </c>
      <c r="S47" s="19">
        <f t="shared" si="6"/>
        <v>243</v>
      </c>
      <c r="T47" s="19">
        <f t="shared" si="7"/>
        <v>250</v>
      </c>
      <c r="U47" s="19">
        <f t="shared" si="8"/>
        <v>286.845809835184</v>
      </c>
      <c r="V47" s="19">
        <f t="shared" si="9"/>
        <v>599.507742555534</v>
      </c>
      <c r="W47" s="19">
        <f t="shared" si="10"/>
        <v>32.6731719692766</v>
      </c>
      <c r="X47" s="19">
        <f t="shared" si="11"/>
        <v>7293.37805403075</v>
      </c>
    </row>
    <row r="48" s="26" customFormat="1" customHeight="1" spans="1:24">
      <c r="A48" s="10">
        <v>44</v>
      </c>
      <c r="B48" s="11" t="s">
        <v>84</v>
      </c>
      <c r="C48" s="11" t="s">
        <v>72</v>
      </c>
      <c r="D48" s="11" t="s">
        <v>85</v>
      </c>
      <c r="E48" s="11" t="s">
        <v>24</v>
      </c>
      <c r="F48" s="11">
        <v>14</v>
      </c>
      <c r="G48" s="13">
        <v>51.1</v>
      </c>
      <c r="H48" s="14">
        <f t="shared" si="28"/>
        <v>1.55555555555556</v>
      </c>
      <c r="I48" s="17">
        <f t="shared" si="29"/>
        <v>0.63875</v>
      </c>
      <c r="J48" s="33">
        <v>1</v>
      </c>
      <c r="K48" s="17">
        <f t="shared" si="0"/>
        <v>0.993611111111111</v>
      </c>
      <c r="L48" s="17">
        <f>SQRT(14*14+28*28)*51.1/2</f>
        <v>799.841515551675</v>
      </c>
      <c r="M48" s="11">
        <v>0.9</v>
      </c>
      <c r="N48" s="18">
        <f t="shared" si="1"/>
        <v>5</v>
      </c>
      <c r="O48" s="19">
        <f t="shared" si="2"/>
        <v>3662.45055555556</v>
      </c>
      <c r="P48" s="19">
        <f t="shared" si="3"/>
        <v>624</v>
      </c>
      <c r="Q48" s="19">
        <f t="shared" si="4"/>
        <v>58</v>
      </c>
      <c r="R48" s="19">
        <f t="shared" si="5"/>
        <v>2728.03545392241</v>
      </c>
      <c r="S48" s="19">
        <f t="shared" si="6"/>
        <v>357.7</v>
      </c>
      <c r="T48" s="19">
        <f t="shared" si="7"/>
        <v>250</v>
      </c>
      <c r="U48" s="19">
        <f t="shared" si="8"/>
        <v>345.608370426508</v>
      </c>
      <c r="V48" s="19">
        <f t="shared" si="9"/>
        <v>722.321494191403</v>
      </c>
      <c r="W48" s="19">
        <f t="shared" si="10"/>
        <v>39.3665214334314</v>
      </c>
      <c r="X48" s="19">
        <f t="shared" si="11"/>
        <v>8787.48239552931</v>
      </c>
    </row>
    <row r="49" s="26" customFormat="1" customHeight="1" spans="1:24">
      <c r="A49" s="10">
        <v>45</v>
      </c>
      <c r="B49" s="11" t="s">
        <v>86</v>
      </c>
      <c r="C49" s="11" t="s">
        <v>72</v>
      </c>
      <c r="D49" s="11" t="s">
        <v>73</v>
      </c>
      <c r="E49" s="11" t="s">
        <v>24</v>
      </c>
      <c r="F49" s="11">
        <v>11</v>
      </c>
      <c r="G49" s="13">
        <v>28</v>
      </c>
      <c r="H49" s="14">
        <f t="shared" si="28"/>
        <v>1.22222222222222</v>
      </c>
      <c r="I49" s="17">
        <f t="shared" si="29"/>
        <v>0.35</v>
      </c>
      <c r="J49" s="33">
        <v>1</v>
      </c>
      <c r="K49" s="17">
        <f t="shared" si="0"/>
        <v>0.427777777777778</v>
      </c>
      <c r="L49" s="17">
        <f>SQRT(11*11+22*22)*38/2</f>
        <v>467.338207297456</v>
      </c>
      <c r="M49" s="11">
        <v>2.5</v>
      </c>
      <c r="N49" s="18">
        <f t="shared" si="1"/>
        <v>4</v>
      </c>
      <c r="O49" s="19">
        <f t="shared" si="2"/>
        <v>1997.29444444444</v>
      </c>
      <c r="P49" s="19">
        <f t="shared" si="3"/>
        <v>944</v>
      </c>
      <c r="Q49" s="19">
        <f t="shared" si="4"/>
        <v>115</v>
      </c>
      <c r="R49" s="19">
        <f t="shared" si="5"/>
        <v>1593.95977039358</v>
      </c>
      <c r="S49" s="19">
        <f t="shared" si="6"/>
        <v>154</v>
      </c>
      <c r="T49" s="19">
        <f t="shared" si="7"/>
        <v>250</v>
      </c>
      <c r="U49" s="19">
        <f t="shared" si="8"/>
        <v>227.441439667711</v>
      </c>
      <c r="V49" s="19">
        <f t="shared" si="9"/>
        <v>475.352608905516</v>
      </c>
      <c r="W49" s="19">
        <f t="shared" si="10"/>
        <v>25.9067171853506</v>
      </c>
      <c r="X49" s="19">
        <f t="shared" si="11"/>
        <v>5782.9549805966</v>
      </c>
    </row>
    <row r="50" s="26" customFormat="1" customHeight="1" spans="1:24">
      <c r="A50" s="10">
        <v>46</v>
      </c>
      <c r="B50" s="11" t="s">
        <v>87</v>
      </c>
      <c r="C50" s="11" t="s">
        <v>72</v>
      </c>
      <c r="D50" s="11" t="s">
        <v>88</v>
      </c>
      <c r="E50" s="11" t="s">
        <v>24</v>
      </c>
      <c r="F50" s="11">
        <v>8.85</v>
      </c>
      <c r="G50" s="13">
        <v>68</v>
      </c>
      <c r="H50" s="14">
        <f t="shared" ref="H50:H55" si="30">1+(F50-10)/10</f>
        <v>0.885</v>
      </c>
      <c r="I50" s="17">
        <f t="shared" ref="I50:I55" si="31">1+(G50-90)/9/10</f>
        <v>0.755555555555556</v>
      </c>
      <c r="J50" s="33">
        <v>1</v>
      </c>
      <c r="K50" s="17">
        <f t="shared" si="0"/>
        <v>0.668666666666667</v>
      </c>
      <c r="L50" s="17">
        <f>SQRT(8.85*8.85+15.75*15.75)*68/2</f>
        <v>614.248369961207</v>
      </c>
      <c r="M50" s="11">
        <v>3.1</v>
      </c>
      <c r="N50" s="18">
        <f t="shared" si="1"/>
        <v>3</v>
      </c>
      <c r="O50" s="19">
        <f t="shared" si="2"/>
        <v>4050.114</v>
      </c>
      <c r="P50" s="19">
        <f t="shared" si="3"/>
        <v>1482</v>
      </c>
      <c r="Q50" s="19">
        <f t="shared" si="4"/>
        <v>173</v>
      </c>
      <c r="R50" s="19">
        <f t="shared" si="5"/>
        <v>2095.02920039409</v>
      </c>
      <c r="S50" s="19">
        <f t="shared" si="6"/>
        <v>300.9</v>
      </c>
      <c r="T50" s="19">
        <f t="shared" si="7"/>
        <v>250</v>
      </c>
      <c r="U50" s="19">
        <f t="shared" si="8"/>
        <v>375.796944017734</v>
      </c>
      <c r="V50" s="19">
        <f t="shared" si="9"/>
        <v>785.415612997064</v>
      </c>
      <c r="W50" s="19">
        <f t="shared" si="10"/>
        <v>42.80515090834</v>
      </c>
      <c r="X50" s="19">
        <f t="shared" si="11"/>
        <v>9555.06090831722</v>
      </c>
    </row>
    <row r="51" s="26" customFormat="1" customHeight="1" spans="1:24">
      <c r="A51" s="10">
        <v>47</v>
      </c>
      <c r="B51" s="11" t="s">
        <v>89</v>
      </c>
      <c r="C51" s="11" t="s">
        <v>72</v>
      </c>
      <c r="D51" s="11" t="s">
        <v>88</v>
      </c>
      <c r="E51" s="11" t="s">
        <v>24</v>
      </c>
      <c r="F51" s="11">
        <v>9.3</v>
      </c>
      <c r="G51" s="13">
        <v>52</v>
      </c>
      <c r="H51" s="14">
        <f t="shared" si="30"/>
        <v>0.93</v>
      </c>
      <c r="I51" s="17">
        <f t="shared" si="31"/>
        <v>0.577777777777778</v>
      </c>
      <c r="J51" s="33">
        <v>1</v>
      </c>
      <c r="K51" s="17">
        <f t="shared" si="0"/>
        <v>0.537333333333333</v>
      </c>
      <c r="L51" s="17">
        <v>0</v>
      </c>
      <c r="M51" s="11">
        <v>3.09</v>
      </c>
      <c r="N51" s="18">
        <f t="shared" si="1"/>
        <v>3</v>
      </c>
      <c r="O51" s="19">
        <f t="shared" si="2"/>
        <v>3254.628</v>
      </c>
      <c r="P51" s="19">
        <f t="shared" si="3"/>
        <v>1482</v>
      </c>
      <c r="Q51" s="19">
        <f t="shared" si="4"/>
        <v>173</v>
      </c>
      <c r="R51" s="19">
        <f t="shared" si="5"/>
        <v>0</v>
      </c>
      <c r="S51" s="19">
        <f t="shared" si="6"/>
        <v>241.8</v>
      </c>
      <c r="T51" s="19">
        <f t="shared" si="7"/>
        <v>250</v>
      </c>
      <c r="U51" s="19">
        <f t="shared" si="8"/>
        <v>243.06426</v>
      </c>
      <c r="V51" s="19">
        <f t="shared" si="9"/>
        <v>508.0043034</v>
      </c>
      <c r="W51" s="19">
        <f t="shared" si="10"/>
        <v>27.6862345353</v>
      </c>
      <c r="X51" s="19">
        <f t="shared" si="11"/>
        <v>6180.1827979353</v>
      </c>
    </row>
    <row r="52" s="26" customFormat="1" customHeight="1" spans="1:24">
      <c r="A52" s="10">
        <v>48</v>
      </c>
      <c r="B52" s="11" t="s">
        <v>90</v>
      </c>
      <c r="C52" s="11" t="s">
        <v>72</v>
      </c>
      <c r="D52" s="11" t="s">
        <v>91</v>
      </c>
      <c r="E52" s="11" t="s">
        <v>24</v>
      </c>
      <c r="F52" s="11">
        <v>6.1</v>
      </c>
      <c r="G52" s="13">
        <v>35</v>
      </c>
      <c r="H52" s="14">
        <f>1+(F52-8)/8</f>
        <v>0.7625</v>
      </c>
      <c r="I52" s="17">
        <f>1+(G52-70)/7/10</f>
        <v>0.5</v>
      </c>
      <c r="J52" s="33">
        <v>1</v>
      </c>
      <c r="K52" s="17">
        <f t="shared" si="0"/>
        <v>0.38125</v>
      </c>
      <c r="L52" s="17">
        <v>0</v>
      </c>
      <c r="M52" s="11">
        <v>0.8</v>
      </c>
      <c r="N52" s="18">
        <f t="shared" si="1"/>
        <v>5</v>
      </c>
      <c r="O52" s="19">
        <f t="shared" si="2"/>
        <v>1405.2875</v>
      </c>
      <c r="P52" s="19">
        <f t="shared" si="3"/>
        <v>624</v>
      </c>
      <c r="Q52" s="19">
        <f t="shared" si="4"/>
        <v>58</v>
      </c>
      <c r="R52" s="19">
        <f t="shared" si="5"/>
        <v>0</v>
      </c>
      <c r="S52" s="19">
        <f t="shared" si="6"/>
        <v>106.75</v>
      </c>
      <c r="T52" s="19">
        <f t="shared" si="7"/>
        <v>250</v>
      </c>
      <c r="U52" s="19">
        <f t="shared" si="8"/>
        <v>109.9816875</v>
      </c>
      <c r="V52" s="19">
        <f t="shared" si="9"/>
        <v>229.861726875</v>
      </c>
      <c r="W52" s="19">
        <f t="shared" si="10"/>
        <v>12.5274641146875</v>
      </c>
      <c r="X52" s="19">
        <f t="shared" si="11"/>
        <v>2796.40837848969</v>
      </c>
    </row>
    <row r="53" s="26" customFormat="1" customHeight="1" spans="1:24">
      <c r="A53" s="10">
        <v>49</v>
      </c>
      <c r="B53" s="11" t="s">
        <v>92</v>
      </c>
      <c r="C53" s="11" t="s">
        <v>72</v>
      </c>
      <c r="D53" s="11" t="s">
        <v>93</v>
      </c>
      <c r="E53" s="11" t="s">
        <v>24</v>
      </c>
      <c r="F53" s="11">
        <v>13.7</v>
      </c>
      <c r="G53" s="13">
        <v>43</v>
      </c>
      <c r="H53" s="14">
        <f t="shared" ref="H53:H56" si="32">1+(F53-9)/9</f>
        <v>1.52222222222222</v>
      </c>
      <c r="I53" s="17">
        <f t="shared" ref="I53:I56" si="33">1+(G53-80)/8/10</f>
        <v>0.5375</v>
      </c>
      <c r="J53" s="33">
        <v>1</v>
      </c>
      <c r="K53" s="17">
        <f t="shared" si="0"/>
        <v>0.818194444444444</v>
      </c>
      <c r="L53" s="17">
        <f>SQRT(13.7*13.7+23.98*23.98)*43/2</f>
        <v>593.777843473466</v>
      </c>
      <c r="M53" s="11">
        <v>1.28</v>
      </c>
      <c r="N53" s="18">
        <f t="shared" si="1"/>
        <v>4</v>
      </c>
      <c r="O53" s="19">
        <f t="shared" si="2"/>
        <v>3820.14986111111</v>
      </c>
      <c r="P53" s="19">
        <f t="shared" si="3"/>
        <v>944</v>
      </c>
      <c r="Q53" s="19">
        <f t="shared" si="4"/>
        <v>115</v>
      </c>
      <c r="R53" s="19">
        <f t="shared" si="5"/>
        <v>2025.20996629182</v>
      </c>
      <c r="S53" s="19">
        <f t="shared" si="6"/>
        <v>294.55</v>
      </c>
      <c r="T53" s="19">
        <f t="shared" si="7"/>
        <v>250</v>
      </c>
      <c r="U53" s="19">
        <f t="shared" si="8"/>
        <v>335.200942233132</v>
      </c>
      <c r="V53" s="19">
        <f t="shared" si="9"/>
        <v>700.569969267246</v>
      </c>
      <c r="W53" s="19">
        <f t="shared" si="10"/>
        <v>38.1810633250649</v>
      </c>
      <c r="X53" s="19">
        <f t="shared" si="11"/>
        <v>8522.86180222837</v>
      </c>
    </row>
    <row r="54" s="26" customFormat="1" customHeight="1" spans="1:24">
      <c r="A54" s="10">
        <v>50</v>
      </c>
      <c r="B54" s="11" t="s">
        <v>94</v>
      </c>
      <c r="C54" s="11" t="s">
        <v>72</v>
      </c>
      <c r="D54" s="11" t="s">
        <v>83</v>
      </c>
      <c r="E54" s="11" t="s">
        <v>24</v>
      </c>
      <c r="F54" s="11">
        <v>7.6</v>
      </c>
      <c r="G54" s="13">
        <v>61</v>
      </c>
      <c r="H54" s="14">
        <f t="shared" si="32"/>
        <v>0.844444444444444</v>
      </c>
      <c r="I54" s="17">
        <f t="shared" si="33"/>
        <v>0.7625</v>
      </c>
      <c r="J54" s="33">
        <v>1</v>
      </c>
      <c r="K54" s="17">
        <f t="shared" si="0"/>
        <v>0.643888888888889</v>
      </c>
      <c r="L54" s="17">
        <v>0</v>
      </c>
      <c r="M54" s="11">
        <v>1.28</v>
      </c>
      <c r="N54" s="18">
        <f t="shared" si="1"/>
        <v>4</v>
      </c>
      <c r="O54" s="19">
        <f t="shared" si="2"/>
        <v>3006.31722222222</v>
      </c>
      <c r="P54" s="19">
        <f t="shared" si="3"/>
        <v>944</v>
      </c>
      <c r="Q54" s="19">
        <f t="shared" si="4"/>
        <v>115</v>
      </c>
      <c r="R54" s="19">
        <f t="shared" si="5"/>
        <v>0</v>
      </c>
      <c r="S54" s="19">
        <f t="shared" si="6"/>
        <v>231.8</v>
      </c>
      <c r="T54" s="19">
        <f t="shared" si="7"/>
        <v>250</v>
      </c>
      <c r="U54" s="19">
        <f t="shared" si="8"/>
        <v>204.620275</v>
      </c>
      <c r="V54" s="19">
        <f t="shared" si="9"/>
        <v>427.65637475</v>
      </c>
      <c r="W54" s="19">
        <f t="shared" si="10"/>
        <v>23.307272423875</v>
      </c>
      <c r="X54" s="19">
        <f t="shared" si="11"/>
        <v>5202.7011443961</v>
      </c>
    </row>
    <row r="55" s="26" customFormat="1" customHeight="1" spans="1:24">
      <c r="A55" s="10">
        <v>51</v>
      </c>
      <c r="B55" s="11" t="s">
        <v>95</v>
      </c>
      <c r="C55" s="11" t="s">
        <v>72</v>
      </c>
      <c r="D55" s="11" t="s">
        <v>96</v>
      </c>
      <c r="E55" s="11" t="s">
        <v>24</v>
      </c>
      <c r="F55" s="11">
        <v>7.5</v>
      </c>
      <c r="G55" s="13">
        <v>50.74</v>
      </c>
      <c r="H55" s="14">
        <f t="shared" si="30"/>
        <v>0.75</v>
      </c>
      <c r="I55" s="17">
        <f t="shared" si="31"/>
        <v>0.563777777777778</v>
      </c>
      <c r="J55" s="33">
        <v>1</v>
      </c>
      <c r="K55" s="17">
        <f t="shared" si="0"/>
        <v>0.422833333333333</v>
      </c>
      <c r="L55" s="17">
        <f>SQRT(7.5*7.5+13.13*13.13)*50.74/2</f>
        <v>383.621665069388</v>
      </c>
      <c r="M55" s="11">
        <v>4.05</v>
      </c>
      <c r="N55" s="18">
        <f t="shared" si="1"/>
        <v>3</v>
      </c>
      <c r="O55" s="19">
        <f t="shared" si="2"/>
        <v>2561.1015</v>
      </c>
      <c r="P55" s="19">
        <f t="shared" si="3"/>
        <v>1482</v>
      </c>
      <c r="Q55" s="19">
        <f t="shared" si="4"/>
        <v>173</v>
      </c>
      <c r="R55" s="19">
        <f t="shared" si="5"/>
        <v>1308.42608548546</v>
      </c>
      <c r="S55" s="19">
        <f t="shared" si="6"/>
        <v>190.275</v>
      </c>
      <c r="T55" s="19">
        <f t="shared" si="7"/>
        <v>250</v>
      </c>
      <c r="U55" s="19">
        <f t="shared" si="8"/>
        <v>268.416116346846</v>
      </c>
      <c r="V55" s="19">
        <f t="shared" si="9"/>
        <v>560.989683164908</v>
      </c>
      <c r="W55" s="19">
        <f t="shared" si="10"/>
        <v>30.5739377324875</v>
      </c>
      <c r="X55" s="19">
        <f t="shared" si="11"/>
        <v>6824.78232272971</v>
      </c>
    </row>
    <row r="56" s="26" customFormat="1" customHeight="1" spans="1:24">
      <c r="A56" s="10">
        <v>52</v>
      </c>
      <c r="B56" s="11" t="s">
        <v>97</v>
      </c>
      <c r="C56" s="11" t="s">
        <v>72</v>
      </c>
      <c r="D56" s="11" t="s">
        <v>96</v>
      </c>
      <c r="E56" s="11" t="s">
        <v>24</v>
      </c>
      <c r="F56" s="11">
        <v>5</v>
      </c>
      <c r="G56" s="13">
        <v>55.43</v>
      </c>
      <c r="H56" s="14">
        <f t="shared" si="32"/>
        <v>0.555555555555556</v>
      </c>
      <c r="I56" s="17">
        <f t="shared" si="33"/>
        <v>0.692875</v>
      </c>
      <c r="J56" s="33">
        <v>1</v>
      </c>
      <c r="K56" s="17">
        <f t="shared" si="0"/>
        <v>0.384930555555556</v>
      </c>
      <c r="L56" s="17">
        <f>SQRT(5*5+9*9)*55.43/2</f>
        <v>285.343389357455</v>
      </c>
      <c r="M56" s="11">
        <v>0.9</v>
      </c>
      <c r="N56" s="18">
        <f t="shared" si="1"/>
        <v>5</v>
      </c>
      <c r="O56" s="19">
        <f t="shared" si="2"/>
        <v>1418.85402777778</v>
      </c>
      <c r="P56" s="19">
        <f t="shared" si="3"/>
        <v>624</v>
      </c>
      <c r="Q56" s="19">
        <f t="shared" si="4"/>
        <v>58</v>
      </c>
      <c r="R56" s="19">
        <f t="shared" si="5"/>
        <v>973.226404949258</v>
      </c>
      <c r="S56" s="19">
        <f t="shared" si="6"/>
        <v>138.575</v>
      </c>
      <c r="T56" s="19">
        <f t="shared" si="7"/>
        <v>250</v>
      </c>
      <c r="U56" s="19">
        <f t="shared" si="8"/>
        <v>155.819494472717</v>
      </c>
      <c r="V56" s="19">
        <f t="shared" si="9"/>
        <v>325.662743447978</v>
      </c>
      <c r="W56" s="19">
        <f t="shared" si="10"/>
        <v>17.7486195179148</v>
      </c>
      <c r="X56" s="19">
        <f t="shared" si="11"/>
        <v>3961.88629016564</v>
      </c>
    </row>
    <row r="57" s="26" customFormat="1" customHeight="1" spans="1:24">
      <c r="A57" s="10">
        <v>53</v>
      </c>
      <c r="B57" s="11" t="s">
        <v>98</v>
      </c>
      <c r="C57" s="11" t="s">
        <v>72</v>
      </c>
      <c r="D57" s="11" t="s">
        <v>99</v>
      </c>
      <c r="E57" s="11" t="s">
        <v>24</v>
      </c>
      <c r="F57" s="11">
        <v>7.5</v>
      </c>
      <c r="G57" s="13">
        <v>43.23</v>
      </c>
      <c r="H57" s="14">
        <f t="shared" ref="H57:H59" si="34">1+(F57-8)/8</f>
        <v>0.9375</v>
      </c>
      <c r="I57" s="17">
        <f t="shared" ref="I57:I59" si="35">1+(G57-70)/7/10</f>
        <v>0.617571428571429</v>
      </c>
      <c r="J57" s="33">
        <v>1</v>
      </c>
      <c r="K57" s="17">
        <f t="shared" si="0"/>
        <v>0.578973214285714</v>
      </c>
      <c r="L57" s="17">
        <f>SQRT(7.5*7.5+13.5*13.5)*43.23/2</f>
        <v>333.810068246151</v>
      </c>
      <c r="M57" s="11">
        <v>0.8</v>
      </c>
      <c r="N57" s="18">
        <f t="shared" si="1"/>
        <v>5</v>
      </c>
      <c r="O57" s="19">
        <f t="shared" si="2"/>
        <v>2134.09526785714</v>
      </c>
      <c r="P57" s="19">
        <f t="shared" si="3"/>
        <v>624</v>
      </c>
      <c r="Q57" s="19">
        <f t="shared" si="4"/>
        <v>58</v>
      </c>
      <c r="R57" s="19">
        <f t="shared" si="5"/>
        <v>1138.53267596851</v>
      </c>
      <c r="S57" s="19">
        <f t="shared" si="6"/>
        <v>162.1125</v>
      </c>
      <c r="T57" s="19">
        <f t="shared" si="7"/>
        <v>250</v>
      </c>
      <c r="U57" s="19">
        <f t="shared" si="8"/>
        <v>196.503319972154</v>
      </c>
      <c r="V57" s="19">
        <f t="shared" si="9"/>
        <v>410.691938741803</v>
      </c>
      <c r="W57" s="19">
        <f t="shared" si="10"/>
        <v>22.3827106614283</v>
      </c>
      <c r="X57" s="19">
        <f t="shared" si="11"/>
        <v>4996.31841320104</v>
      </c>
    </row>
    <row r="58" s="26" customFormat="1" customHeight="1" spans="1:24">
      <c r="A58" s="10">
        <v>54</v>
      </c>
      <c r="B58" s="11" t="s">
        <v>100</v>
      </c>
      <c r="C58" s="11" t="s">
        <v>72</v>
      </c>
      <c r="D58" s="11" t="s">
        <v>101</v>
      </c>
      <c r="E58" s="11" t="s">
        <v>24</v>
      </c>
      <c r="F58" s="11">
        <v>7.5</v>
      </c>
      <c r="G58" s="13">
        <v>45</v>
      </c>
      <c r="H58" s="14">
        <f t="shared" si="34"/>
        <v>0.9375</v>
      </c>
      <c r="I58" s="17">
        <f t="shared" si="35"/>
        <v>0.642857142857143</v>
      </c>
      <c r="J58" s="33">
        <v>1</v>
      </c>
      <c r="K58" s="17">
        <f t="shared" si="0"/>
        <v>0.602678571428571</v>
      </c>
      <c r="L58" s="17">
        <f>SQRT(7.5*7.5+13.5*13.5)*45</f>
        <v>694.955034516623</v>
      </c>
      <c r="M58" s="11">
        <v>0.8</v>
      </c>
      <c r="N58" s="18">
        <f t="shared" si="1"/>
        <v>5</v>
      </c>
      <c r="O58" s="19">
        <f t="shared" si="2"/>
        <v>2221.47321428571</v>
      </c>
      <c r="P58" s="19">
        <f t="shared" si="3"/>
        <v>624</v>
      </c>
      <c r="Q58" s="19">
        <f t="shared" si="4"/>
        <v>58</v>
      </c>
      <c r="R58" s="19">
        <f t="shared" si="5"/>
        <v>2370.29703532653</v>
      </c>
      <c r="S58" s="19">
        <f t="shared" si="6"/>
        <v>168.75</v>
      </c>
      <c r="T58" s="19">
        <f t="shared" si="7"/>
        <v>250</v>
      </c>
      <c r="U58" s="19">
        <f t="shared" si="8"/>
        <v>256.163411232551</v>
      </c>
      <c r="V58" s="19">
        <f t="shared" si="9"/>
        <v>535.381529476032</v>
      </c>
      <c r="W58" s="19">
        <f t="shared" si="10"/>
        <v>29.1782933564437</v>
      </c>
      <c r="X58" s="19">
        <f t="shared" si="11"/>
        <v>6513.24348367728</v>
      </c>
    </row>
    <row r="59" s="26" customFormat="1" customHeight="1" spans="1:24">
      <c r="A59" s="10">
        <v>55</v>
      </c>
      <c r="B59" s="11" t="s">
        <v>102</v>
      </c>
      <c r="C59" s="11" t="s">
        <v>72</v>
      </c>
      <c r="D59" s="11" t="s">
        <v>80</v>
      </c>
      <c r="E59" s="11" t="s">
        <v>24</v>
      </c>
      <c r="F59" s="11">
        <v>8.25</v>
      </c>
      <c r="G59" s="13">
        <v>48.1</v>
      </c>
      <c r="H59" s="14">
        <f t="shared" si="34"/>
        <v>1.03125</v>
      </c>
      <c r="I59" s="17">
        <f t="shared" si="35"/>
        <v>0.687142857142857</v>
      </c>
      <c r="J59" s="34">
        <v>1.1</v>
      </c>
      <c r="K59" s="17">
        <f t="shared" si="0"/>
        <v>0.779477678571429</v>
      </c>
      <c r="L59" s="17">
        <f>SQRT(8.25*8.25+14.44*14.44)*48.1</f>
        <v>799.930766204801</v>
      </c>
      <c r="M59" s="11">
        <v>0.8</v>
      </c>
      <c r="N59" s="18">
        <f t="shared" si="1"/>
        <v>5</v>
      </c>
      <c r="O59" s="19">
        <f t="shared" si="2"/>
        <v>2873.15472321429</v>
      </c>
      <c r="P59" s="19">
        <f t="shared" si="3"/>
        <v>686.4</v>
      </c>
      <c r="Q59" s="19">
        <f t="shared" si="4"/>
        <v>58</v>
      </c>
      <c r="R59" s="19">
        <f t="shared" si="5"/>
        <v>2728.33986291004</v>
      </c>
      <c r="S59" s="19">
        <f t="shared" si="6"/>
        <v>198.4125</v>
      </c>
      <c r="T59" s="19">
        <f t="shared" si="7"/>
        <v>250</v>
      </c>
      <c r="U59" s="19">
        <f t="shared" si="8"/>
        <v>305.743818875595</v>
      </c>
      <c r="V59" s="19">
        <f t="shared" si="9"/>
        <v>639.004581449993</v>
      </c>
      <c r="W59" s="19">
        <f t="shared" si="10"/>
        <v>34.8257496890246</v>
      </c>
      <c r="X59" s="19">
        <f t="shared" si="11"/>
        <v>7773.88123613894</v>
      </c>
    </row>
    <row r="60" s="26" customFormat="1" customHeight="1" spans="1:24">
      <c r="A60" s="10">
        <v>56</v>
      </c>
      <c r="B60" s="11" t="s">
        <v>103</v>
      </c>
      <c r="C60" s="11" t="s">
        <v>72</v>
      </c>
      <c r="D60" s="11" t="s">
        <v>104</v>
      </c>
      <c r="E60" s="11" t="s">
        <v>24</v>
      </c>
      <c r="F60" s="11">
        <v>9.65</v>
      </c>
      <c r="G60" s="13">
        <v>23</v>
      </c>
      <c r="H60" s="14">
        <f t="shared" ref="H60:H62" si="36">1+(F60-9)/9</f>
        <v>1.07222222222222</v>
      </c>
      <c r="I60" s="17">
        <f t="shared" ref="I60:I62" si="37">1+(G60-80)/8/10</f>
        <v>0.2875</v>
      </c>
      <c r="J60" s="33">
        <v>1</v>
      </c>
      <c r="K60" s="17">
        <f t="shared" si="0"/>
        <v>0.308263888888889</v>
      </c>
      <c r="L60" s="17">
        <f>SQRT(9.65*9.65+16.89*16.89)*23/2</f>
        <v>223.702225849454</v>
      </c>
      <c r="M60" s="11">
        <v>1</v>
      </c>
      <c r="N60" s="18">
        <f t="shared" si="1"/>
        <v>5</v>
      </c>
      <c r="O60" s="19">
        <f t="shared" si="2"/>
        <v>1136.26069444444</v>
      </c>
      <c r="P60" s="19">
        <f t="shared" si="3"/>
        <v>624</v>
      </c>
      <c r="Q60" s="19">
        <f t="shared" si="4"/>
        <v>58</v>
      </c>
      <c r="R60" s="19">
        <f t="shared" si="5"/>
        <v>762.985655749249</v>
      </c>
      <c r="S60" s="19">
        <f t="shared" si="6"/>
        <v>110.975</v>
      </c>
      <c r="T60" s="19">
        <f t="shared" si="7"/>
        <v>250</v>
      </c>
      <c r="U60" s="19">
        <f t="shared" si="8"/>
        <v>132.399960758716</v>
      </c>
      <c r="V60" s="19">
        <f t="shared" si="9"/>
        <v>276.715917985717</v>
      </c>
      <c r="W60" s="19">
        <f t="shared" si="10"/>
        <v>15.0810175302216</v>
      </c>
      <c r="X60" s="19">
        <f t="shared" si="11"/>
        <v>3366.41824646835</v>
      </c>
    </row>
    <row r="61" s="26" customFormat="1" customHeight="1" spans="1:24">
      <c r="A61" s="10">
        <v>57</v>
      </c>
      <c r="B61" s="11" t="s">
        <v>105</v>
      </c>
      <c r="C61" s="11" t="s">
        <v>72</v>
      </c>
      <c r="D61" s="11" t="s">
        <v>106</v>
      </c>
      <c r="E61" s="11" t="s">
        <v>24</v>
      </c>
      <c r="F61" s="11">
        <v>11.08</v>
      </c>
      <c r="G61" s="13">
        <v>27.3</v>
      </c>
      <c r="H61" s="14">
        <f t="shared" si="36"/>
        <v>1.23111111111111</v>
      </c>
      <c r="I61" s="17">
        <f t="shared" si="37"/>
        <v>0.34125</v>
      </c>
      <c r="J61" s="33">
        <v>1</v>
      </c>
      <c r="K61" s="17">
        <f t="shared" si="0"/>
        <v>0.420116666666667</v>
      </c>
      <c r="L61" s="17">
        <f>SQRT(11.08*11.08+19.39*19.39)*27.3/2</f>
        <v>304.837996592042</v>
      </c>
      <c r="M61" s="11">
        <v>1.2</v>
      </c>
      <c r="N61" s="18">
        <f t="shared" si="1"/>
        <v>4</v>
      </c>
      <c r="O61" s="19">
        <f t="shared" si="2"/>
        <v>1961.52471666667</v>
      </c>
      <c r="P61" s="19">
        <f t="shared" si="3"/>
        <v>944</v>
      </c>
      <c r="Q61" s="19">
        <f t="shared" si="4"/>
        <v>115</v>
      </c>
      <c r="R61" s="19">
        <f t="shared" si="5"/>
        <v>1039.71705173641</v>
      </c>
      <c r="S61" s="19">
        <f t="shared" si="6"/>
        <v>151.242</v>
      </c>
      <c r="T61" s="19">
        <f t="shared" si="7"/>
        <v>250</v>
      </c>
      <c r="U61" s="19">
        <f t="shared" si="8"/>
        <v>200.766769578138</v>
      </c>
      <c r="V61" s="19">
        <f t="shared" si="9"/>
        <v>419.602548418309</v>
      </c>
      <c r="W61" s="19">
        <f t="shared" si="10"/>
        <v>22.8683388887979</v>
      </c>
      <c r="X61" s="19">
        <f t="shared" si="11"/>
        <v>5104.72142528832</v>
      </c>
    </row>
    <row r="62" s="26" customFormat="1" customHeight="1" spans="1:24">
      <c r="A62" s="10">
        <v>58</v>
      </c>
      <c r="B62" s="11" t="s">
        <v>107</v>
      </c>
      <c r="C62" s="11" t="s">
        <v>72</v>
      </c>
      <c r="D62" s="11" t="s">
        <v>83</v>
      </c>
      <c r="E62" s="11" t="s">
        <v>24</v>
      </c>
      <c r="F62" s="11">
        <v>7.1</v>
      </c>
      <c r="G62" s="13">
        <v>28.5</v>
      </c>
      <c r="H62" s="14">
        <f t="shared" si="36"/>
        <v>0.788888888888889</v>
      </c>
      <c r="I62" s="17">
        <f t="shared" si="37"/>
        <v>0.35625</v>
      </c>
      <c r="J62" s="33">
        <v>1</v>
      </c>
      <c r="K62" s="17">
        <f t="shared" si="0"/>
        <v>0.281041666666667</v>
      </c>
      <c r="L62" s="17">
        <v>0</v>
      </c>
      <c r="M62" s="11">
        <v>1.25</v>
      </c>
      <c r="N62" s="18">
        <f t="shared" si="1"/>
        <v>4</v>
      </c>
      <c r="O62" s="19">
        <f t="shared" si="2"/>
        <v>1312.18354166667</v>
      </c>
      <c r="P62" s="19">
        <f t="shared" si="3"/>
        <v>944</v>
      </c>
      <c r="Q62" s="19">
        <f t="shared" si="4"/>
        <v>115</v>
      </c>
      <c r="R62" s="19">
        <f t="shared" si="5"/>
        <v>0</v>
      </c>
      <c r="S62" s="19">
        <f t="shared" si="6"/>
        <v>101.175</v>
      </c>
      <c r="T62" s="19">
        <f t="shared" si="7"/>
        <v>250</v>
      </c>
      <c r="U62" s="19">
        <f t="shared" si="8"/>
        <v>122.506134375</v>
      </c>
      <c r="V62" s="19">
        <f t="shared" si="9"/>
        <v>256.03782084375</v>
      </c>
      <c r="W62" s="19">
        <f t="shared" si="10"/>
        <v>13.9540612359844</v>
      </c>
      <c r="X62" s="19">
        <f t="shared" si="11"/>
        <v>3114.8565581214</v>
      </c>
    </row>
    <row r="63" s="26" customFormat="1" customHeight="1" spans="1:24">
      <c r="A63" s="10">
        <v>59</v>
      </c>
      <c r="B63" s="11" t="s">
        <v>108</v>
      </c>
      <c r="C63" s="11" t="s">
        <v>72</v>
      </c>
      <c r="D63" s="11" t="s">
        <v>80</v>
      </c>
      <c r="E63" s="11" t="s">
        <v>24</v>
      </c>
      <c r="F63" s="11">
        <v>14.66</v>
      </c>
      <c r="G63" s="13">
        <v>54.3</v>
      </c>
      <c r="H63" s="14">
        <f>1+(F63-10)/10</f>
        <v>1.466</v>
      </c>
      <c r="I63" s="17">
        <f>1+(G63-70)/7/10</f>
        <v>0.775714285714286</v>
      </c>
      <c r="J63" s="33">
        <v>1</v>
      </c>
      <c r="K63" s="17">
        <f t="shared" si="0"/>
        <v>1.13719714285714</v>
      </c>
      <c r="L63" s="17">
        <f>SQRT(13*13+22.75*22.75)*54.3/2</f>
        <v>711.393468065493</v>
      </c>
      <c r="M63" s="11">
        <v>2.24</v>
      </c>
      <c r="N63" s="18">
        <f t="shared" si="1"/>
        <v>4</v>
      </c>
      <c r="O63" s="19">
        <f t="shared" si="2"/>
        <v>5309.57346</v>
      </c>
      <c r="P63" s="19">
        <f t="shared" si="3"/>
        <v>944</v>
      </c>
      <c r="Q63" s="19">
        <f t="shared" si="4"/>
        <v>115</v>
      </c>
      <c r="R63" s="19">
        <f t="shared" si="5"/>
        <v>2426.36392940034</v>
      </c>
      <c r="S63" s="19">
        <f t="shared" si="6"/>
        <v>398.019</v>
      </c>
      <c r="T63" s="19">
        <f t="shared" si="7"/>
        <v>250</v>
      </c>
      <c r="U63" s="19">
        <f t="shared" si="8"/>
        <v>424.933037523015</v>
      </c>
      <c r="V63" s="19">
        <f t="shared" si="9"/>
        <v>888.110048423102</v>
      </c>
      <c r="W63" s="19">
        <f t="shared" si="10"/>
        <v>48.401997639059</v>
      </c>
      <c r="X63" s="19">
        <f t="shared" si="11"/>
        <v>10804.4014729855</v>
      </c>
    </row>
    <row r="64" s="26" customFormat="1" customHeight="1" spans="1:24">
      <c r="A64" s="10">
        <v>60</v>
      </c>
      <c r="B64" s="11" t="s">
        <v>109</v>
      </c>
      <c r="C64" s="11" t="s">
        <v>72</v>
      </c>
      <c r="D64" s="11" t="s">
        <v>78</v>
      </c>
      <c r="E64" s="11" t="s">
        <v>24</v>
      </c>
      <c r="F64" s="11">
        <v>6.3</v>
      </c>
      <c r="G64" s="13">
        <v>43.5</v>
      </c>
      <c r="H64" s="14">
        <f t="shared" ref="H64:H67" si="38">1+(F64-9)/9</f>
        <v>0.7</v>
      </c>
      <c r="I64" s="17">
        <f t="shared" ref="I64:I67" si="39">1+(G64-80)/8/10</f>
        <v>0.54375</v>
      </c>
      <c r="J64" s="34">
        <v>1.1</v>
      </c>
      <c r="K64" s="17">
        <f t="shared" si="0"/>
        <v>0.4186875</v>
      </c>
      <c r="L64" s="17">
        <f>SQRT(6.3*6.3+12.6*12.6)*43.5/2</f>
        <v>306.397214616909</v>
      </c>
      <c r="M64" s="11">
        <v>1</v>
      </c>
      <c r="N64" s="18">
        <f t="shared" si="1"/>
        <v>5</v>
      </c>
      <c r="O64" s="19">
        <f t="shared" si="2"/>
        <v>1543.282125</v>
      </c>
      <c r="P64" s="19">
        <f t="shared" si="3"/>
        <v>686.4</v>
      </c>
      <c r="Q64" s="19">
        <f t="shared" si="4"/>
        <v>58</v>
      </c>
      <c r="R64" s="19">
        <f t="shared" si="5"/>
        <v>1045.03510783818</v>
      </c>
      <c r="S64" s="19">
        <f t="shared" si="6"/>
        <v>137.025</v>
      </c>
      <c r="T64" s="19">
        <f t="shared" si="7"/>
        <v>250</v>
      </c>
      <c r="U64" s="19">
        <f t="shared" si="8"/>
        <v>167.388400477718</v>
      </c>
      <c r="V64" s="19">
        <f t="shared" si="9"/>
        <v>349.841756998431</v>
      </c>
      <c r="W64" s="19">
        <f t="shared" si="10"/>
        <v>19.0663757564145</v>
      </c>
      <c r="X64" s="19">
        <f t="shared" si="11"/>
        <v>4256.03876607075</v>
      </c>
    </row>
    <row r="65" s="26" customFormat="1" customHeight="1" spans="1:24">
      <c r="A65" s="10">
        <v>61</v>
      </c>
      <c r="B65" s="11" t="s">
        <v>110</v>
      </c>
      <c r="C65" s="11" t="s">
        <v>72</v>
      </c>
      <c r="D65" s="11" t="s">
        <v>80</v>
      </c>
      <c r="E65" s="11" t="s">
        <v>24</v>
      </c>
      <c r="F65" s="11">
        <v>8</v>
      </c>
      <c r="G65" s="13">
        <v>62</v>
      </c>
      <c r="H65" s="14">
        <f t="shared" si="38"/>
        <v>0.888888888888889</v>
      </c>
      <c r="I65" s="17">
        <f t="shared" si="39"/>
        <v>0.775</v>
      </c>
      <c r="J65" s="33">
        <v>1</v>
      </c>
      <c r="K65" s="17">
        <f t="shared" si="0"/>
        <v>0.688888888888889</v>
      </c>
      <c r="L65" s="17">
        <f>SQRT(8*8+15.2*15.2)*62/2</f>
        <v>532.47858172888</v>
      </c>
      <c r="M65" s="11">
        <v>1.4</v>
      </c>
      <c r="N65" s="18">
        <f t="shared" si="1"/>
        <v>4</v>
      </c>
      <c r="O65" s="19">
        <f t="shared" si="2"/>
        <v>3216.42222222222</v>
      </c>
      <c r="P65" s="19">
        <f t="shared" si="3"/>
        <v>944</v>
      </c>
      <c r="Q65" s="19">
        <f t="shared" si="4"/>
        <v>115</v>
      </c>
      <c r="R65" s="19">
        <f t="shared" si="5"/>
        <v>1816.13534827433</v>
      </c>
      <c r="S65" s="19">
        <f t="shared" si="6"/>
        <v>248</v>
      </c>
      <c r="T65" s="19">
        <f t="shared" si="7"/>
        <v>250</v>
      </c>
      <c r="U65" s="19">
        <f t="shared" si="8"/>
        <v>296.530090672345</v>
      </c>
      <c r="V65" s="19">
        <f t="shared" si="9"/>
        <v>619.7478895052</v>
      </c>
      <c r="W65" s="19">
        <f t="shared" si="10"/>
        <v>33.7762599780334</v>
      </c>
      <c r="X65" s="19">
        <f t="shared" si="11"/>
        <v>7539.61181065213</v>
      </c>
    </row>
    <row r="66" s="26" customFormat="1" customHeight="1" spans="1:24">
      <c r="A66" s="10">
        <v>62</v>
      </c>
      <c r="B66" s="11" t="s">
        <v>111</v>
      </c>
      <c r="C66" s="11" t="s">
        <v>72</v>
      </c>
      <c r="D66" s="11" t="s">
        <v>96</v>
      </c>
      <c r="E66" s="11" t="s">
        <v>24</v>
      </c>
      <c r="F66" s="11">
        <v>8.7</v>
      </c>
      <c r="G66" s="13">
        <v>88</v>
      </c>
      <c r="H66" s="14">
        <f>1+(F66-10)/10</f>
        <v>0.87</v>
      </c>
      <c r="I66" s="17">
        <f>1+(G66-90)/9/10</f>
        <v>0.977777777777778</v>
      </c>
      <c r="J66" s="33">
        <v>1</v>
      </c>
      <c r="K66" s="17">
        <f t="shared" si="0"/>
        <v>0.850666666666667</v>
      </c>
      <c r="L66" s="17">
        <f>SQRT(8.7*8.7+15.23*15.23)*88/2</f>
        <v>771.749087722169</v>
      </c>
      <c r="M66" s="11">
        <v>3.06</v>
      </c>
      <c r="N66" s="18">
        <f t="shared" si="1"/>
        <v>3</v>
      </c>
      <c r="O66" s="19">
        <f t="shared" si="2"/>
        <v>5152.488</v>
      </c>
      <c r="P66" s="19">
        <f t="shared" si="3"/>
        <v>1482</v>
      </c>
      <c r="Q66" s="19">
        <f t="shared" si="4"/>
        <v>173</v>
      </c>
      <c r="R66" s="19">
        <f t="shared" si="5"/>
        <v>2632.22004847576</v>
      </c>
      <c r="S66" s="19">
        <f t="shared" si="6"/>
        <v>382.8</v>
      </c>
      <c r="T66" s="19">
        <f t="shared" si="7"/>
        <v>250</v>
      </c>
      <c r="U66" s="19">
        <f t="shared" si="8"/>
        <v>453.262862181409</v>
      </c>
      <c r="V66" s="19">
        <f t="shared" si="9"/>
        <v>947.319381959145</v>
      </c>
      <c r="W66" s="19">
        <f t="shared" si="10"/>
        <v>51.6289063167734</v>
      </c>
      <c r="X66" s="19">
        <f t="shared" si="11"/>
        <v>11524.7191989331</v>
      </c>
    </row>
    <row r="67" s="26" customFormat="1" customHeight="1" spans="1:24">
      <c r="A67" s="10">
        <v>63</v>
      </c>
      <c r="B67" s="11" t="s">
        <v>112</v>
      </c>
      <c r="C67" s="11" t="s">
        <v>72</v>
      </c>
      <c r="D67" s="11" t="s">
        <v>96</v>
      </c>
      <c r="E67" s="11" t="s">
        <v>24</v>
      </c>
      <c r="F67" s="11">
        <v>13.85</v>
      </c>
      <c r="G67" s="13">
        <v>34</v>
      </c>
      <c r="H67" s="14">
        <f t="shared" si="38"/>
        <v>1.53888888888889</v>
      </c>
      <c r="I67" s="17">
        <f t="shared" si="39"/>
        <v>0.425</v>
      </c>
      <c r="J67" s="33">
        <v>1</v>
      </c>
      <c r="K67" s="17">
        <f t="shared" si="0"/>
        <v>0.654027777777778</v>
      </c>
      <c r="L67" s="17">
        <f>SQRT(14.05*14.05+24.59*24.59)*34/2</f>
        <v>481.454466590559</v>
      </c>
      <c r="M67" s="11">
        <v>1.8</v>
      </c>
      <c r="N67" s="18">
        <f t="shared" si="1"/>
        <v>4</v>
      </c>
      <c r="O67" s="19">
        <f t="shared" si="2"/>
        <v>3053.65569444444</v>
      </c>
      <c r="P67" s="19">
        <f t="shared" si="3"/>
        <v>944</v>
      </c>
      <c r="Q67" s="19">
        <f t="shared" si="4"/>
        <v>115</v>
      </c>
      <c r="R67" s="19">
        <f t="shared" si="5"/>
        <v>1642.10637828975</v>
      </c>
      <c r="S67" s="19">
        <f t="shared" si="6"/>
        <v>235.45</v>
      </c>
      <c r="T67" s="19">
        <f t="shared" si="7"/>
        <v>250</v>
      </c>
      <c r="U67" s="19">
        <f t="shared" si="8"/>
        <v>280.809543273039</v>
      </c>
      <c r="V67" s="19">
        <f t="shared" si="9"/>
        <v>586.891945440651</v>
      </c>
      <c r="W67" s="19">
        <f t="shared" si="10"/>
        <v>31.9856110265155</v>
      </c>
      <c r="X67" s="19">
        <f t="shared" si="11"/>
        <v>7139.8991724744</v>
      </c>
    </row>
    <row r="68" s="26" customFormat="1" customHeight="1" spans="1:24">
      <c r="A68" s="10">
        <v>64</v>
      </c>
      <c r="B68" s="11" t="s">
        <v>113</v>
      </c>
      <c r="C68" s="11" t="s">
        <v>72</v>
      </c>
      <c r="D68" s="11" t="s">
        <v>96</v>
      </c>
      <c r="E68" s="11" t="s">
        <v>24</v>
      </c>
      <c r="F68" s="11">
        <v>5.5</v>
      </c>
      <c r="G68" s="13">
        <v>29.28</v>
      </c>
      <c r="H68" s="14">
        <f t="shared" ref="H68:H71" si="40">1+(F68-8)/8</f>
        <v>0.6875</v>
      </c>
      <c r="I68" s="17">
        <f t="shared" ref="I68:I71" si="41">1+(G68-70)/7/10</f>
        <v>0.418285714285714</v>
      </c>
      <c r="J68" s="33">
        <v>1.1</v>
      </c>
      <c r="K68" s="17">
        <f t="shared" si="0"/>
        <v>0.316328571428572</v>
      </c>
      <c r="L68" s="17">
        <f>SQRT(5.5*5.5+9.9*9.9)*29.28</f>
        <v>331.601655580909</v>
      </c>
      <c r="M68" s="11">
        <v>0.9</v>
      </c>
      <c r="N68" s="18">
        <f t="shared" si="1"/>
        <v>5</v>
      </c>
      <c r="O68" s="19">
        <f t="shared" si="2"/>
        <v>1165.98711428571</v>
      </c>
      <c r="P68" s="19">
        <f t="shared" si="3"/>
        <v>686.4</v>
      </c>
      <c r="Q68" s="19">
        <f t="shared" si="4"/>
        <v>58</v>
      </c>
      <c r="R68" s="19">
        <f t="shared" si="5"/>
        <v>1131.00039872292</v>
      </c>
      <c r="S68" s="19">
        <f t="shared" si="6"/>
        <v>80.52</v>
      </c>
      <c r="T68" s="19">
        <f t="shared" si="7"/>
        <v>250</v>
      </c>
      <c r="U68" s="19">
        <f t="shared" si="8"/>
        <v>151.735838085389</v>
      </c>
      <c r="V68" s="19">
        <f t="shared" si="9"/>
        <v>317.127901598462</v>
      </c>
      <c r="W68" s="19">
        <f t="shared" si="10"/>
        <v>17.2834706371162</v>
      </c>
      <c r="X68" s="19">
        <f t="shared" si="11"/>
        <v>3858.0547233296</v>
      </c>
    </row>
    <row r="69" s="26" customFormat="1" customHeight="1" spans="1:24">
      <c r="A69" s="10">
        <v>65</v>
      </c>
      <c r="B69" s="11" t="s">
        <v>114</v>
      </c>
      <c r="C69" s="11" t="s">
        <v>72</v>
      </c>
      <c r="D69" s="11" t="s">
        <v>83</v>
      </c>
      <c r="E69" s="11" t="s">
        <v>24</v>
      </c>
      <c r="F69" s="11">
        <v>9.7</v>
      </c>
      <c r="G69" s="13">
        <v>45.5</v>
      </c>
      <c r="H69" s="14">
        <f t="shared" ref="H69:H74" si="42">1+(F69-10)/10</f>
        <v>0.97</v>
      </c>
      <c r="I69" s="17">
        <f>1+(G69-90)/9/10</f>
        <v>0.505555555555556</v>
      </c>
      <c r="J69" s="33">
        <v>1</v>
      </c>
      <c r="K69" s="17">
        <f t="shared" ref="K69:K132" si="43">H69*I69*J69</f>
        <v>0.490388888888889</v>
      </c>
      <c r="L69" s="17">
        <v>0</v>
      </c>
      <c r="M69" s="11">
        <v>2.48</v>
      </c>
      <c r="N69" s="18">
        <f t="shared" ref="N69:N132" si="44">IF(OR(M69&gt;7),1,IF(OR(M69&gt;5),2,IF(OR(M69&gt;3),3,IF(OR(M69&gt;1),4,5))))</f>
        <v>4</v>
      </c>
      <c r="O69" s="19">
        <f t="shared" ref="O69:O132" si="45">CHOOSE(N69,8630,7495,6057,4669,3686)*$K69</f>
        <v>2289.62572222222</v>
      </c>
      <c r="P69" s="19">
        <f t="shared" ref="P69:P132" si="46">CHOOSE(N69,2261,1756,1482,944,624)*J69</f>
        <v>944</v>
      </c>
      <c r="Q69" s="19">
        <f t="shared" ref="Q69:Q132" si="47">CHOOSE(N69,288,230,173,115,58)</f>
        <v>115</v>
      </c>
      <c r="R69" s="19">
        <f t="shared" ref="R69:R132" si="48">L69*3.41072</f>
        <v>0</v>
      </c>
      <c r="S69" s="19">
        <f t="shared" ref="S69:S132" si="49">100000*F69*G69/2000*0.01</f>
        <v>220.675</v>
      </c>
      <c r="T69" s="19">
        <f t="shared" ref="T69:T132" si="50">6.25*40</f>
        <v>250</v>
      </c>
      <c r="U69" s="19">
        <f t="shared" ref="U69:U132" si="51">(O69+P69+Q69+R69+S69+T69)*0.045</f>
        <v>171.8685325</v>
      </c>
      <c r="V69" s="19">
        <f t="shared" ref="V69:V132" si="52">(O69+P69+Q69+R69+S69+T69+U69)*0.09</f>
        <v>359.205232925</v>
      </c>
      <c r="W69" s="19">
        <f t="shared" ref="W69:W132" si="53">(O69+P69+Q69+R69+S69+T69+U69+V69)*0.0045</f>
        <v>19.5766851944125</v>
      </c>
      <c r="X69" s="19">
        <f t="shared" ref="X69:X132" si="54">SUM(O69:W69)</f>
        <v>4369.95117284164</v>
      </c>
    </row>
    <row r="70" s="26" customFormat="1" customHeight="1" spans="1:24">
      <c r="A70" s="10">
        <v>66</v>
      </c>
      <c r="B70" s="11" t="s">
        <v>115</v>
      </c>
      <c r="C70" s="11" t="s">
        <v>72</v>
      </c>
      <c r="D70" s="11" t="s">
        <v>99</v>
      </c>
      <c r="E70" s="11" t="s">
        <v>24</v>
      </c>
      <c r="F70" s="11">
        <v>7</v>
      </c>
      <c r="G70" s="13">
        <v>27.8</v>
      </c>
      <c r="H70" s="14">
        <f t="shared" si="40"/>
        <v>0.875</v>
      </c>
      <c r="I70" s="17">
        <f t="shared" si="41"/>
        <v>0.397142857142857</v>
      </c>
      <c r="J70" s="33">
        <v>1</v>
      </c>
      <c r="K70" s="17">
        <f t="shared" si="43"/>
        <v>0.3475</v>
      </c>
      <c r="L70" s="17">
        <f>SQRT(7*7+21*21)*27.8/2</f>
        <v>307.689616334383</v>
      </c>
      <c r="M70" s="11">
        <v>0.8</v>
      </c>
      <c r="N70" s="18">
        <f t="shared" si="44"/>
        <v>5</v>
      </c>
      <c r="O70" s="19">
        <f t="shared" si="45"/>
        <v>1280.885</v>
      </c>
      <c r="P70" s="19">
        <f t="shared" si="46"/>
        <v>624</v>
      </c>
      <c r="Q70" s="19">
        <f t="shared" si="47"/>
        <v>58</v>
      </c>
      <c r="R70" s="19">
        <f t="shared" si="48"/>
        <v>1049.44312822401</v>
      </c>
      <c r="S70" s="19">
        <f t="shared" si="49"/>
        <v>97.3</v>
      </c>
      <c r="T70" s="19">
        <f t="shared" si="50"/>
        <v>250</v>
      </c>
      <c r="U70" s="19">
        <f t="shared" si="51"/>
        <v>151.18326577008</v>
      </c>
      <c r="V70" s="19">
        <f t="shared" si="52"/>
        <v>315.973025459468</v>
      </c>
      <c r="W70" s="19">
        <f t="shared" si="53"/>
        <v>17.220529887541</v>
      </c>
      <c r="X70" s="19">
        <f t="shared" si="54"/>
        <v>3844.0049493411</v>
      </c>
    </row>
    <row r="71" s="26" customFormat="1" customHeight="1" spans="1:24">
      <c r="A71" s="10">
        <v>67</v>
      </c>
      <c r="B71" s="32" t="s">
        <v>116</v>
      </c>
      <c r="C71" s="11" t="s">
        <v>72</v>
      </c>
      <c r="D71" s="11" t="s">
        <v>99</v>
      </c>
      <c r="E71" s="11" t="s">
        <v>24</v>
      </c>
      <c r="F71" s="11">
        <v>2.48</v>
      </c>
      <c r="G71" s="13">
        <v>40</v>
      </c>
      <c r="H71" s="14">
        <f t="shared" si="40"/>
        <v>0.31</v>
      </c>
      <c r="I71" s="17">
        <f t="shared" si="41"/>
        <v>0.571428571428571</v>
      </c>
      <c r="J71" s="33">
        <v>1</v>
      </c>
      <c r="K71" s="17">
        <f t="shared" si="43"/>
        <v>0.177142857142857</v>
      </c>
      <c r="L71" s="17">
        <v>101.18</v>
      </c>
      <c r="M71" s="11">
        <v>0.18</v>
      </c>
      <c r="N71" s="18">
        <f t="shared" si="44"/>
        <v>5</v>
      </c>
      <c r="O71" s="19">
        <f t="shared" si="45"/>
        <v>652.948571428571</v>
      </c>
      <c r="P71" s="19">
        <f t="shared" si="46"/>
        <v>624</v>
      </c>
      <c r="Q71" s="19">
        <f t="shared" si="47"/>
        <v>58</v>
      </c>
      <c r="R71" s="19">
        <f t="shared" si="48"/>
        <v>345.0966496</v>
      </c>
      <c r="S71" s="19">
        <f t="shared" si="49"/>
        <v>49.6</v>
      </c>
      <c r="T71" s="19">
        <f t="shared" si="50"/>
        <v>250</v>
      </c>
      <c r="U71" s="19">
        <f t="shared" si="51"/>
        <v>89.0840349462857</v>
      </c>
      <c r="V71" s="19">
        <f t="shared" si="52"/>
        <v>186.185633037737</v>
      </c>
      <c r="W71" s="19">
        <f t="shared" si="53"/>
        <v>10.1471170005567</v>
      </c>
      <c r="X71" s="19">
        <f t="shared" si="54"/>
        <v>2265.06200601315</v>
      </c>
    </row>
    <row r="72" s="26" customFormat="1" customHeight="1" spans="1:24">
      <c r="A72" s="10">
        <v>68</v>
      </c>
      <c r="B72" s="11" t="s">
        <v>117</v>
      </c>
      <c r="C72" s="11" t="s">
        <v>72</v>
      </c>
      <c r="D72" s="11" t="s">
        <v>83</v>
      </c>
      <c r="E72" s="11" t="s">
        <v>24</v>
      </c>
      <c r="F72" s="11">
        <v>8.6</v>
      </c>
      <c r="G72" s="13">
        <v>43</v>
      </c>
      <c r="H72" s="14">
        <f>1+(F72-9)/9</f>
        <v>0.955555555555555</v>
      </c>
      <c r="I72" s="17">
        <f>1+(G72-80)/8/10</f>
        <v>0.5375</v>
      </c>
      <c r="J72" s="33">
        <v>1</v>
      </c>
      <c r="K72" s="17">
        <f t="shared" si="43"/>
        <v>0.513611111111111</v>
      </c>
      <c r="L72" s="17">
        <f>SQRT(8.6*8.6+21.5*21.5)*43/2</f>
        <v>497.858486419585</v>
      </c>
      <c r="M72" s="11">
        <v>1.87</v>
      </c>
      <c r="N72" s="18">
        <f t="shared" si="44"/>
        <v>4</v>
      </c>
      <c r="O72" s="19">
        <f t="shared" si="45"/>
        <v>2398.05027777778</v>
      </c>
      <c r="P72" s="19">
        <f t="shared" si="46"/>
        <v>944</v>
      </c>
      <c r="Q72" s="19">
        <f t="shared" si="47"/>
        <v>115</v>
      </c>
      <c r="R72" s="19">
        <f t="shared" si="48"/>
        <v>1698.05589680101</v>
      </c>
      <c r="S72" s="19">
        <f t="shared" si="49"/>
        <v>184.9</v>
      </c>
      <c r="T72" s="19">
        <f t="shared" si="50"/>
        <v>250</v>
      </c>
      <c r="U72" s="19">
        <f t="shared" si="51"/>
        <v>251.550277856045</v>
      </c>
      <c r="V72" s="19">
        <f t="shared" si="52"/>
        <v>525.740080719135</v>
      </c>
      <c r="W72" s="19">
        <f t="shared" si="53"/>
        <v>28.6528343991928</v>
      </c>
      <c r="X72" s="19">
        <f t="shared" si="54"/>
        <v>6395.94936755316</v>
      </c>
    </row>
    <row r="73" s="26" customFormat="1" customHeight="1" spans="1:24">
      <c r="A73" s="10">
        <v>69</v>
      </c>
      <c r="B73" s="32" t="s">
        <v>118</v>
      </c>
      <c r="C73" s="11" t="s">
        <v>72</v>
      </c>
      <c r="D73" s="11" t="s">
        <v>83</v>
      </c>
      <c r="E73" s="11" t="s">
        <v>24</v>
      </c>
      <c r="F73" s="11">
        <v>8.75</v>
      </c>
      <c r="G73" s="13">
        <v>45</v>
      </c>
      <c r="H73" s="14">
        <f t="shared" si="42"/>
        <v>0.875</v>
      </c>
      <c r="I73" s="17">
        <f t="shared" ref="I73:I77" si="55">1+(G73-70)/7/10</f>
        <v>0.642857142857143</v>
      </c>
      <c r="J73" s="33">
        <v>1</v>
      </c>
      <c r="K73" s="17">
        <f t="shared" si="43"/>
        <v>0.5625</v>
      </c>
      <c r="L73" s="17">
        <v>362.22</v>
      </c>
      <c r="M73" s="11">
        <v>2.98</v>
      </c>
      <c r="N73" s="18">
        <f t="shared" si="44"/>
        <v>4</v>
      </c>
      <c r="O73" s="19">
        <f t="shared" si="45"/>
        <v>2626.3125</v>
      </c>
      <c r="P73" s="19">
        <f t="shared" si="46"/>
        <v>944</v>
      </c>
      <c r="Q73" s="19">
        <f t="shared" si="47"/>
        <v>115</v>
      </c>
      <c r="R73" s="19">
        <f t="shared" si="48"/>
        <v>1235.4309984</v>
      </c>
      <c r="S73" s="19">
        <f t="shared" si="49"/>
        <v>196.875</v>
      </c>
      <c r="T73" s="19">
        <f t="shared" si="50"/>
        <v>250</v>
      </c>
      <c r="U73" s="19">
        <f t="shared" si="51"/>
        <v>241.542832428</v>
      </c>
      <c r="V73" s="19">
        <f t="shared" si="52"/>
        <v>504.82451977452</v>
      </c>
      <c r="W73" s="19">
        <f t="shared" si="53"/>
        <v>27.5129363277113</v>
      </c>
      <c r="X73" s="19">
        <f t="shared" si="54"/>
        <v>6141.49878693023</v>
      </c>
    </row>
    <row r="74" s="26" customFormat="1" customHeight="1" spans="1:24">
      <c r="A74" s="10">
        <v>70</v>
      </c>
      <c r="B74" s="32" t="s">
        <v>119</v>
      </c>
      <c r="C74" s="11" t="s">
        <v>72</v>
      </c>
      <c r="D74" s="11" t="s">
        <v>83</v>
      </c>
      <c r="E74" s="11" t="s">
        <v>24</v>
      </c>
      <c r="F74" s="11">
        <v>4.36</v>
      </c>
      <c r="G74" s="13">
        <v>50.7</v>
      </c>
      <c r="H74" s="14">
        <f t="shared" si="42"/>
        <v>0.436</v>
      </c>
      <c r="I74" s="17">
        <f t="shared" si="55"/>
        <v>0.724285714285714</v>
      </c>
      <c r="J74" s="33">
        <v>1</v>
      </c>
      <c r="K74" s="17">
        <f t="shared" si="43"/>
        <v>0.315788571428571</v>
      </c>
      <c r="L74" s="17">
        <f>215.72/2</f>
        <v>107.86</v>
      </c>
      <c r="M74" s="11">
        <v>1.16</v>
      </c>
      <c r="N74" s="18">
        <f t="shared" si="44"/>
        <v>4</v>
      </c>
      <c r="O74" s="19">
        <f t="shared" si="45"/>
        <v>1474.41684</v>
      </c>
      <c r="P74" s="19">
        <f t="shared" si="46"/>
        <v>944</v>
      </c>
      <c r="Q74" s="19">
        <f t="shared" si="47"/>
        <v>115</v>
      </c>
      <c r="R74" s="19">
        <f t="shared" si="48"/>
        <v>367.8802592</v>
      </c>
      <c r="S74" s="19">
        <f t="shared" si="49"/>
        <v>110.526</v>
      </c>
      <c r="T74" s="19">
        <f t="shared" si="50"/>
        <v>250</v>
      </c>
      <c r="U74" s="19">
        <f t="shared" si="51"/>
        <v>146.782039464</v>
      </c>
      <c r="V74" s="19">
        <f t="shared" si="52"/>
        <v>306.77446247976</v>
      </c>
      <c r="W74" s="19">
        <f t="shared" si="53"/>
        <v>16.7192082051469</v>
      </c>
      <c r="X74" s="19">
        <f t="shared" si="54"/>
        <v>3732.09880934891</v>
      </c>
    </row>
    <row r="75" s="26" customFormat="1" customHeight="1" spans="1:24">
      <c r="A75" s="10">
        <v>71</v>
      </c>
      <c r="B75" s="11" t="s">
        <v>120</v>
      </c>
      <c r="C75" s="11" t="s">
        <v>72</v>
      </c>
      <c r="D75" s="11" t="s">
        <v>78</v>
      </c>
      <c r="E75" s="11" t="s">
        <v>24</v>
      </c>
      <c r="F75" s="11">
        <v>5</v>
      </c>
      <c r="G75" s="13">
        <v>29.5</v>
      </c>
      <c r="H75" s="14">
        <f t="shared" ref="H75:H77" si="56">1+(F75-8)/8</f>
        <v>0.625</v>
      </c>
      <c r="I75" s="17">
        <f t="shared" si="55"/>
        <v>0.421428571428571</v>
      </c>
      <c r="J75" s="33">
        <v>1</v>
      </c>
      <c r="K75" s="17">
        <f t="shared" si="43"/>
        <v>0.263392857142857</v>
      </c>
      <c r="L75" s="17">
        <f>SQRT(5*5+10*10)*29.5</f>
        <v>329.820026681219</v>
      </c>
      <c r="M75" s="11">
        <v>0.8</v>
      </c>
      <c r="N75" s="18">
        <f t="shared" si="44"/>
        <v>5</v>
      </c>
      <c r="O75" s="19">
        <f t="shared" si="45"/>
        <v>970.866071428572</v>
      </c>
      <c r="P75" s="19">
        <f t="shared" si="46"/>
        <v>624</v>
      </c>
      <c r="Q75" s="19">
        <f t="shared" si="47"/>
        <v>58</v>
      </c>
      <c r="R75" s="19">
        <f t="shared" si="48"/>
        <v>1124.92376140217</v>
      </c>
      <c r="S75" s="19">
        <f t="shared" si="49"/>
        <v>73.75</v>
      </c>
      <c r="T75" s="19">
        <f t="shared" si="50"/>
        <v>250</v>
      </c>
      <c r="U75" s="19">
        <f t="shared" si="51"/>
        <v>139.569292477383</v>
      </c>
      <c r="V75" s="19">
        <f t="shared" si="52"/>
        <v>291.699821277731</v>
      </c>
      <c r="W75" s="19">
        <f t="shared" si="53"/>
        <v>15.8976402596363</v>
      </c>
      <c r="X75" s="19">
        <f t="shared" si="54"/>
        <v>3548.70658684549</v>
      </c>
    </row>
    <row r="76" s="26" customFormat="1" customHeight="1" spans="1:24">
      <c r="A76" s="10">
        <v>72</v>
      </c>
      <c r="B76" s="11" t="s">
        <v>121</v>
      </c>
      <c r="C76" s="11" t="s">
        <v>72</v>
      </c>
      <c r="D76" s="11" t="s">
        <v>104</v>
      </c>
      <c r="E76" s="11" t="s">
        <v>24</v>
      </c>
      <c r="F76" s="11">
        <v>7.86</v>
      </c>
      <c r="G76" s="13">
        <v>34.6</v>
      </c>
      <c r="H76" s="14">
        <f t="shared" si="56"/>
        <v>0.9825</v>
      </c>
      <c r="I76" s="17">
        <f t="shared" si="55"/>
        <v>0.494285714285714</v>
      </c>
      <c r="J76" s="33">
        <v>1</v>
      </c>
      <c r="K76" s="17">
        <f t="shared" si="43"/>
        <v>0.485635714285714</v>
      </c>
      <c r="L76" s="17">
        <f>SQRT(7.86*7.86+13.91*13.91)*34.6</f>
        <v>552.807633568857</v>
      </c>
      <c r="M76" s="11">
        <v>0.67</v>
      </c>
      <c r="N76" s="18">
        <f t="shared" si="44"/>
        <v>5</v>
      </c>
      <c r="O76" s="19">
        <f t="shared" si="45"/>
        <v>1790.05324285714</v>
      </c>
      <c r="P76" s="19">
        <f t="shared" si="46"/>
        <v>624</v>
      </c>
      <c r="Q76" s="19">
        <f t="shared" si="47"/>
        <v>58</v>
      </c>
      <c r="R76" s="19">
        <f t="shared" si="48"/>
        <v>1885.47205196597</v>
      </c>
      <c r="S76" s="19">
        <f t="shared" si="49"/>
        <v>135.978</v>
      </c>
      <c r="T76" s="19">
        <f t="shared" si="50"/>
        <v>250</v>
      </c>
      <c r="U76" s="19">
        <f t="shared" si="51"/>
        <v>213.45764826704</v>
      </c>
      <c r="V76" s="19">
        <f t="shared" si="52"/>
        <v>446.126484878114</v>
      </c>
      <c r="W76" s="19">
        <f t="shared" si="53"/>
        <v>24.3138934258572</v>
      </c>
      <c r="X76" s="19">
        <f t="shared" si="54"/>
        <v>5427.40132139413</v>
      </c>
    </row>
    <row r="77" s="26" customFormat="1" customHeight="1" spans="1:24">
      <c r="A77" s="10">
        <v>73</v>
      </c>
      <c r="B77" s="11" t="s">
        <v>122</v>
      </c>
      <c r="C77" s="11" t="s">
        <v>72</v>
      </c>
      <c r="D77" s="11" t="s">
        <v>96</v>
      </c>
      <c r="E77" s="11" t="s">
        <v>24</v>
      </c>
      <c r="F77" s="11">
        <v>6.49</v>
      </c>
      <c r="G77" s="13">
        <v>30.5</v>
      </c>
      <c r="H77" s="14">
        <f t="shared" si="56"/>
        <v>0.81125</v>
      </c>
      <c r="I77" s="17">
        <f t="shared" si="55"/>
        <v>0.435714285714286</v>
      </c>
      <c r="J77" s="33">
        <v>1</v>
      </c>
      <c r="K77" s="17">
        <f t="shared" si="43"/>
        <v>0.353473214285714</v>
      </c>
      <c r="L77" s="17">
        <f>SQRT(6.49*6.49+10.77*10.77)*30.5</f>
        <v>383.516125149908</v>
      </c>
      <c r="M77" s="11">
        <v>0.34</v>
      </c>
      <c r="N77" s="18">
        <f t="shared" si="44"/>
        <v>5</v>
      </c>
      <c r="O77" s="19">
        <f t="shared" si="45"/>
        <v>1302.90226785714</v>
      </c>
      <c r="P77" s="19">
        <f t="shared" si="46"/>
        <v>624</v>
      </c>
      <c r="Q77" s="19">
        <f t="shared" si="47"/>
        <v>58</v>
      </c>
      <c r="R77" s="19">
        <f t="shared" si="48"/>
        <v>1308.06611837129</v>
      </c>
      <c r="S77" s="19">
        <f t="shared" si="49"/>
        <v>98.9725</v>
      </c>
      <c r="T77" s="19">
        <f t="shared" si="50"/>
        <v>250</v>
      </c>
      <c r="U77" s="19">
        <f t="shared" si="51"/>
        <v>163.88733988028</v>
      </c>
      <c r="V77" s="19">
        <f t="shared" si="52"/>
        <v>342.524540349785</v>
      </c>
      <c r="W77" s="19">
        <f t="shared" si="53"/>
        <v>18.6675874490633</v>
      </c>
      <c r="X77" s="19">
        <f t="shared" si="54"/>
        <v>4167.02035390756</v>
      </c>
    </row>
    <row r="78" s="26" customFormat="1" customHeight="1" spans="1:24">
      <c r="A78" s="10">
        <v>74</v>
      </c>
      <c r="B78" s="11" t="s">
        <v>123</v>
      </c>
      <c r="C78" s="11" t="s">
        <v>72</v>
      </c>
      <c r="D78" s="11" t="s">
        <v>80</v>
      </c>
      <c r="E78" s="11" t="s">
        <v>24</v>
      </c>
      <c r="F78" s="11">
        <v>6.84</v>
      </c>
      <c r="G78" s="13">
        <v>56</v>
      </c>
      <c r="H78" s="14">
        <f>1+(F78-9)/9</f>
        <v>0.76</v>
      </c>
      <c r="I78" s="17">
        <f>1+(G78-80)/8/10</f>
        <v>0.7</v>
      </c>
      <c r="J78" s="33">
        <v>1</v>
      </c>
      <c r="K78" s="17">
        <f t="shared" si="43"/>
        <v>0.532</v>
      </c>
      <c r="L78" s="17">
        <f>SQRT(6.84*6.84+11.35*11.35)*56</f>
        <v>742.096356007763</v>
      </c>
      <c r="M78" s="11">
        <v>1.18</v>
      </c>
      <c r="N78" s="18">
        <f t="shared" si="44"/>
        <v>4</v>
      </c>
      <c r="O78" s="19">
        <f t="shared" si="45"/>
        <v>2483.908</v>
      </c>
      <c r="P78" s="19">
        <f t="shared" si="46"/>
        <v>944</v>
      </c>
      <c r="Q78" s="19">
        <f t="shared" si="47"/>
        <v>115</v>
      </c>
      <c r="R78" s="19">
        <f t="shared" si="48"/>
        <v>2531.0828833628</v>
      </c>
      <c r="S78" s="19">
        <f t="shared" si="49"/>
        <v>191.52</v>
      </c>
      <c r="T78" s="19">
        <f t="shared" si="50"/>
        <v>250</v>
      </c>
      <c r="U78" s="19">
        <f t="shared" si="51"/>
        <v>293.197989751326</v>
      </c>
      <c r="V78" s="19">
        <f t="shared" si="52"/>
        <v>612.783798580271</v>
      </c>
      <c r="W78" s="19">
        <f t="shared" si="53"/>
        <v>33.3967170226248</v>
      </c>
      <c r="X78" s="19">
        <f t="shared" si="54"/>
        <v>7454.88938871702</v>
      </c>
    </row>
    <row r="79" s="26" customFormat="1" customHeight="1" spans="1:24">
      <c r="A79" s="10">
        <v>75</v>
      </c>
      <c r="B79" s="32" t="s">
        <v>124</v>
      </c>
      <c r="C79" s="11" t="s">
        <v>72</v>
      </c>
      <c r="D79" s="11" t="s">
        <v>83</v>
      </c>
      <c r="E79" s="11" t="s">
        <v>24</v>
      </c>
      <c r="F79" s="11">
        <v>4.75</v>
      </c>
      <c r="G79" s="13">
        <v>32.1</v>
      </c>
      <c r="H79" s="14">
        <f t="shared" ref="H79:H81" si="57">1+(F79-8)/8</f>
        <v>0.59375</v>
      </c>
      <c r="I79" s="17">
        <f t="shared" ref="I79:I81" si="58">1+(G79-70)/7/10</f>
        <v>0.458571428571429</v>
      </c>
      <c r="J79" s="33">
        <v>1</v>
      </c>
      <c r="K79" s="17">
        <f t="shared" si="43"/>
        <v>0.272276785714286</v>
      </c>
      <c r="L79" s="17">
        <v>0</v>
      </c>
      <c r="M79" s="11">
        <v>0.44</v>
      </c>
      <c r="N79" s="18">
        <f t="shared" si="44"/>
        <v>5</v>
      </c>
      <c r="O79" s="19">
        <f t="shared" si="45"/>
        <v>1003.61223214286</v>
      </c>
      <c r="P79" s="19">
        <f t="shared" si="46"/>
        <v>624</v>
      </c>
      <c r="Q79" s="19">
        <f t="shared" si="47"/>
        <v>58</v>
      </c>
      <c r="R79" s="19">
        <f t="shared" si="48"/>
        <v>0</v>
      </c>
      <c r="S79" s="19">
        <f t="shared" si="49"/>
        <v>76.2375</v>
      </c>
      <c r="T79" s="19">
        <f t="shared" si="50"/>
        <v>250</v>
      </c>
      <c r="U79" s="19">
        <f t="shared" si="51"/>
        <v>90.5332379464286</v>
      </c>
      <c r="V79" s="19">
        <f t="shared" si="52"/>
        <v>189.214467308036</v>
      </c>
      <c r="W79" s="19">
        <f t="shared" si="53"/>
        <v>10.3121884682879</v>
      </c>
      <c r="X79" s="19">
        <f t="shared" si="54"/>
        <v>2301.90962586561</v>
      </c>
    </row>
    <row r="80" s="26" customFormat="1" customHeight="1" spans="1:24">
      <c r="A80" s="10">
        <v>76</v>
      </c>
      <c r="B80" s="11" t="s">
        <v>125</v>
      </c>
      <c r="C80" s="11" t="s">
        <v>72</v>
      </c>
      <c r="D80" s="11" t="s">
        <v>96</v>
      </c>
      <c r="E80" s="11" t="s">
        <v>24</v>
      </c>
      <c r="F80" s="11">
        <v>9.6</v>
      </c>
      <c r="G80" s="13">
        <v>35.8</v>
      </c>
      <c r="H80" s="14">
        <f t="shared" si="57"/>
        <v>1.2</v>
      </c>
      <c r="I80" s="17">
        <f t="shared" si="58"/>
        <v>0.511428571428571</v>
      </c>
      <c r="J80" s="33">
        <v>1</v>
      </c>
      <c r="K80" s="17">
        <f t="shared" si="43"/>
        <v>0.613714285714286</v>
      </c>
      <c r="L80" s="17">
        <f>SQRT(6.5*6.5+7.48*7.48)*38</f>
        <v>376.565236844826</v>
      </c>
      <c r="M80" s="11">
        <v>0.5</v>
      </c>
      <c r="N80" s="18">
        <f t="shared" si="44"/>
        <v>5</v>
      </c>
      <c r="O80" s="19">
        <f t="shared" si="45"/>
        <v>2262.15085714286</v>
      </c>
      <c r="P80" s="19">
        <f t="shared" si="46"/>
        <v>624</v>
      </c>
      <c r="Q80" s="19">
        <f t="shared" si="47"/>
        <v>58</v>
      </c>
      <c r="R80" s="19">
        <f t="shared" si="48"/>
        <v>1284.35858461139</v>
      </c>
      <c r="S80" s="19">
        <f t="shared" si="49"/>
        <v>171.84</v>
      </c>
      <c r="T80" s="19">
        <f t="shared" si="50"/>
        <v>250</v>
      </c>
      <c r="U80" s="19">
        <f t="shared" si="51"/>
        <v>209.265724878941</v>
      </c>
      <c r="V80" s="19">
        <f t="shared" si="52"/>
        <v>437.365364996987</v>
      </c>
      <c r="W80" s="19">
        <f t="shared" si="53"/>
        <v>23.8364123923358</v>
      </c>
      <c r="X80" s="19">
        <f t="shared" si="54"/>
        <v>5320.81694402251</v>
      </c>
    </row>
    <row r="81" s="26" customFormat="1" customHeight="1" spans="1:24">
      <c r="A81" s="10">
        <v>77</v>
      </c>
      <c r="B81" s="11" t="s">
        <v>126</v>
      </c>
      <c r="C81" s="11" t="s">
        <v>72</v>
      </c>
      <c r="D81" s="11" t="s">
        <v>99</v>
      </c>
      <c r="E81" s="11" t="s">
        <v>24</v>
      </c>
      <c r="F81" s="11">
        <v>6.9</v>
      </c>
      <c r="G81" s="13">
        <v>43.09</v>
      </c>
      <c r="H81" s="14">
        <f t="shared" si="57"/>
        <v>0.8625</v>
      </c>
      <c r="I81" s="17">
        <f t="shared" si="58"/>
        <v>0.615571428571429</v>
      </c>
      <c r="J81" s="33">
        <v>1</v>
      </c>
      <c r="K81" s="17">
        <f t="shared" si="43"/>
        <v>0.530930357142857</v>
      </c>
      <c r="L81" s="17">
        <f>SQRT(6.53*6.53+26.12*26.12)*44</f>
        <v>1184.65070835247</v>
      </c>
      <c r="M81" s="11">
        <v>0.54</v>
      </c>
      <c r="N81" s="18">
        <f t="shared" si="44"/>
        <v>5</v>
      </c>
      <c r="O81" s="19">
        <f t="shared" si="45"/>
        <v>1957.00929642857</v>
      </c>
      <c r="P81" s="19">
        <f t="shared" si="46"/>
        <v>624</v>
      </c>
      <c r="Q81" s="19">
        <f t="shared" si="47"/>
        <v>58</v>
      </c>
      <c r="R81" s="19">
        <f t="shared" si="48"/>
        <v>4040.51186399192</v>
      </c>
      <c r="S81" s="19">
        <f t="shared" si="49"/>
        <v>148.6605</v>
      </c>
      <c r="T81" s="19">
        <f t="shared" si="50"/>
        <v>250</v>
      </c>
      <c r="U81" s="19">
        <f t="shared" si="51"/>
        <v>318.518174718922</v>
      </c>
      <c r="V81" s="19">
        <f t="shared" si="52"/>
        <v>665.702985162548</v>
      </c>
      <c r="W81" s="19">
        <f t="shared" si="53"/>
        <v>36.2808126913588</v>
      </c>
      <c r="X81" s="19">
        <f t="shared" si="54"/>
        <v>8098.68363299332</v>
      </c>
    </row>
    <row r="82" s="26" customFormat="1" customHeight="1" spans="1:24">
      <c r="A82" s="10">
        <v>78</v>
      </c>
      <c r="B82" s="11" t="s">
        <v>127</v>
      </c>
      <c r="C82" s="11" t="s">
        <v>128</v>
      </c>
      <c r="D82" s="11" t="s">
        <v>129</v>
      </c>
      <c r="E82" s="11" t="s">
        <v>24</v>
      </c>
      <c r="F82" s="11">
        <v>8.2</v>
      </c>
      <c r="G82" s="13">
        <v>45</v>
      </c>
      <c r="H82" s="14">
        <f t="shared" ref="H82:H87" si="59">1+(F82-9)/9</f>
        <v>0.911111111111111</v>
      </c>
      <c r="I82" s="17">
        <f t="shared" ref="I82:I87" si="60">1+(G82-80)/8/10</f>
        <v>0.5625</v>
      </c>
      <c r="J82" s="33">
        <v>1</v>
      </c>
      <c r="K82" s="17">
        <f t="shared" si="43"/>
        <v>0.5125</v>
      </c>
      <c r="L82" s="17">
        <f>SQRT(8.2*8.2+14.35*14.35)*45</f>
        <v>743.743277280541</v>
      </c>
      <c r="M82" s="11">
        <v>1.8</v>
      </c>
      <c r="N82" s="18">
        <f t="shared" si="44"/>
        <v>4</v>
      </c>
      <c r="O82" s="19">
        <f t="shared" si="45"/>
        <v>2392.8625</v>
      </c>
      <c r="P82" s="19">
        <f t="shared" si="46"/>
        <v>944</v>
      </c>
      <c r="Q82" s="19">
        <f t="shared" si="47"/>
        <v>115</v>
      </c>
      <c r="R82" s="19">
        <f t="shared" si="48"/>
        <v>2536.70007068629</v>
      </c>
      <c r="S82" s="19">
        <f t="shared" si="49"/>
        <v>184.5</v>
      </c>
      <c r="T82" s="19">
        <f t="shared" si="50"/>
        <v>250</v>
      </c>
      <c r="U82" s="19">
        <f t="shared" si="51"/>
        <v>289.037815680883</v>
      </c>
      <c r="V82" s="19">
        <f t="shared" si="52"/>
        <v>604.089034773045</v>
      </c>
      <c r="W82" s="19">
        <f t="shared" si="53"/>
        <v>32.922852395131</v>
      </c>
      <c r="X82" s="19">
        <f t="shared" si="54"/>
        <v>7349.11227353535</v>
      </c>
    </row>
    <row r="83" s="26" customFormat="1" customHeight="1" spans="1:24">
      <c r="A83" s="10">
        <v>79</v>
      </c>
      <c r="B83" s="11" t="s">
        <v>130</v>
      </c>
      <c r="C83" s="11" t="s">
        <v>128</v>
      </c>
      <c r="D83" s="11" t="s">
        <v>131</v>
      </c>
      <c r="E83" s="11" t="s">
        <v>24</v>
      </c>
      <c r="F83" s="11">
        <v>5.15</v>
      </c>
      <c r="G83" s="13">
        <v>39.5</v>
      </c>
      <c r="H83" s="14">
        <f t="shared" ref="H83:H85" si="61">1+(F83-8)/8</f>
        <v>0.64375</v>
      </c>
      <c r="I83" s="17">
        <f t="shared" ref="I83:I85" si="62">1+(G83-70)/7/10</f>
        <v>0.564285714285714</v>
      </c>
      <c r="J83" s="33">
        <v>1</v>
      </c>
      <c r="K83" s="17">
        <f t="shared" si="43"/>
        <v>0.363258928571429</v>
      </c>
      <c r="L83" s="17">
        <v>0</v>
      </c>
      <c r="M83" s="11">
        <v>0.8</v>
      </c>
      <c r="N83" s="18">
        <f t="shared" si="44"/>
        <v>5</v>
      </c>
      <c r="O83" s="19">
        <f t="shared" si="45"/>
        <v>1338.97241071429</v>
      </c>
      <c r="P83" s="19">
        <f t="shared" si="46"/>
        <v>624</v>
      </c>
      <c r="Q83" s="19">
        <f t="shared" si="47"/>
        <v>58</v>
      </c>
      <c r="R83" s="19">
        <f t="shared" si="48"/>
        <v>0</v>
      </c>
      <c r="S83" s="19">
        <f t="shared" si="49"/>
        <v>101.7125</v>
      </c>
      <c r="T83" s="19">
        <f t="shared" si="50"/>
        <v>250</v>
      </c>
      <c r="U83" s="19">
        <f t="shared" si="51"/>
        <v>106.770820982143</v>
      </c>
      <c r="V83" s="19">
        <f t="shared" si="52"/>
        <v>223.151015852679</v>
      </c>
      <c r="W83" s="19">
        <f t="shared" si="53"/>
        <v>12.161730363971</v>
      </c>
      <c r="X83" s="19">
        <f t="shared" si="54"/>
        <v>2714.76847791308</v>
      </c>
    </row>
    <row r="84" s="26" customFormat="1" customHeight="1" spans="1:24">
      <c r="A84" s="10">
        <v>80</v>
      </c>
      <c r="B84" s="11" t="s">
        <v>132</v>
      </c>
      <c r="C84" s="11" t="s">
        <v>128</v>
      </c>
      <c r="D84" s="11" t="s">
        <v>131</v>
      </c>
      <c r="E84" s="11" t="s">
        <v>24</v>
      </c>
      <c r="F84" s="11">
        <v>5</v>
      </c>
      <c r="G84" s="13">
        <v>53</v>
      </c>
      <c r="H84" s="14">
        <f t="shared" si="61"/>
        <v>0.625</v>
      </c>
      <c r="I84" s="17">
        <f t="shared" si="62"/>
        <v>0.757142857142857</v>
      </c>
      <c r="J84" s="33">
        <v>1</v>
      </c>
      <c r="K84" s="17">
        <f t="shared" si="43"/>
        <v>0.473214285714286</v>
      </c>
      <c r="L84" s="17">
        <v>0</v>
      </c>
      <c r="M84" s="11">
        <v>0.8</v>
      </c>
      <c r="N84" s="18">
        <f t="shared" si="44"/>
        <v>5</v>
      </c>
      <c r="O84" s="19">
        <f t="shared" si="45"/>
        <v>1744.26785714286</v>
      </c>
      <c r="P84" s="19">
        <f t="shared" si="46"/>
        <v>624</v>
      </c>
      <c r="Q84" s="19">
        <f t="shared" si="47"/>
        <v>58</v>
      </c>
      <c r="R84" s="19">
        <f t="shared" si="48"/>
        <v>0</v>
      </c>
      <c r="S84" s="19">
        <f t="shared" si="49"/>
        <v>132.5</v>
      </c>
      <c r="T84" s="19">
        <f t="shared" si="50"/>
        <v>250</v>
      </c>
      <c r="U84" s="19">
        <f t="shared" si="51"/>
        <v>126.394553571429</v>
      </c>
      <c r="V84" s="19">
        <f t="shared" si="52"/>
        <v>264.164616964286</v>
      </c>
      <c r="W84" s="19">
        <f t="shared" si="53"/>
        <v>14.3969716245536</v>
      </c>
      <c r="X84" s="19">
        <f t="shared" si="54"/>
        <v>3213.72399930312</v>
      </c>
    </row>
    <row r="85" s="26" customFormat="1" customHeight="1" spans="1:24">
      <c r="A85" s="10">
        <v>81</v>
      </c>
      <c r="B85" s="11" t="s">
        <v>133</v>
      </c>
      <c r="C85" s="11" t="s">
        <v>128</v>
      </c>
      <c r="D85" s="11" t="s">
        <v>129</v>
      </c>
      <c r="E85" s="11" t="s">
        <v>24</v>
      </c>
      <c r="F85" s="11">
        <v>10.7</v>
      </c>
      <c r="G85" s="13">
        <v>52</v>
      </c>
      <c r="H85" s="14">
        <f t="shared" si="61"/>
        <v>1.3375</v>
      </c>
      <c r="I85" s="17">
        <f t="shared" si="62"/>
        <v>0.742857142857143</v>
      </c>
      <c r="J85" s="33">
        <v>1</v>
      </c>
      <c r="K85" s="17">
        <f t="shared" si="43"/>
        <v>0.993571428571429</v>
      </c>
      <c r="L85" s="17">
        <v>0</v>
      </c>
      <c r="M85" s="11">
        <v>0.8</v>
      </c>
      <c r="N85" s="18">
        <f t="shared" si="44"/>
        <v>5</v>
      </c>
      <c r="O85" s="19">
        <f t="shared" si="45"/>
        <v>3662.30428571429</v>
      </c>
      <c r="P85" s="19">
        <f t="shared" si="46"/>
        <v>624</v>
      </c>
      <c r="Q85" s="19">
        <f t="shared" si="47"/>
        <v>58</v>
      </c>
      <c r="R85" s="19">
        <f t="shared" si="48"/>
        <v>0</v>
      </c>
      <c r="S85" s="19">
        <f t="shared" si="49"/>
        <v>278.2</v>
      </c>
      <c r="T85" s="19">
        <f t="shared" si="50"/>
        <v>250</v>
      </c>
      <c r="U85" s="19">
        <f t="shared" si="51"/>
        <v>219.262692857143</v>
      </c>
      <c r="V85" s="19">
        <f t="shared" si="52"/>
        <v>458.259028071428</v>
      </c>
      <c r="W85" s="19">
        <f t="shared" si="53"/>
        <v>24.9751170298929</v>
      </c>
      <c r="X85" s="19">
        <f t="shared" si="54"/>
        <v>5575.00112367275</v>
      </c>
    </row>
    <row r="86" s="26" customFormat="1" customHeight="1" spans="1:24">
      <c r="A86" s="10">
        <v>82</v>
      </c>
      <c r="B86" s="11" t="s">
        <v>134</v>
      </c>
      <c r="C86" s="11" t="s">
        <v>128</v>
      </c>
      <c r="D86" s="11" t="s">
        <v>129</v>
      </c>
      <c r="E86" s="11" t="s">
        <v>24</v>
      </c>
      <c r="F86" s="11">
        <v>13.5</v>
      </c>
      <c r="G86" s="13">
        <v>48</v>
      </c>
      <c r="H86" s="14">
        <f t="shared" si="59"/>
        <v>1.5</v>
      </c>
      <c r="I86" s="17">
        <f t="shared" si="60"/>
        <v>0.6</v>
      </c>
      <c r="J86" s="33">
        <v>1</v>
      </c>
      <c r="K86" s="17">
        <f t="shared" si="43"/>
        <v>0.9</v>
      </c>
      <c r="L86" s="17">
        <f>SQRT(13.5*13.5+23.63*23.63)*48/2</f>
        <v>653.147069502727</v>
      </c>
      <c r="M86" s="11">
        <v>1.92</v>
      </c>
      <c r="N86" s="18">
        <f t="shared" si="44"/>
        <v>4</v>
      </c>
      <c r="O86" s="19">
        <f t="shared" si="45"/>
        <v>4202.1</v>
      </c>
      <c r="P86" s="19">
        <f t="shared" si="46"/>
        <v>944</v>
      </c>
      <c r="Q86" s="19">
        <f t="shared" si="47"/>
        <v>115</v>
      </c>
      <c r="R86" s="19">
        <f t="shared" si="48"/>
        <v>2227.70177289434</v>
      </c>
      <c r="S86" s="19">
        <f t="shared" si="49"/>
        <v>324</v>
      </c>
      <c r="T86" s="19">
        <f t="shared" si="50"/>
        <v>250</v>
      </c>
      <c r="U86" s="19">
        <f t="shared" si="51"/>
        <v>362.826079780245</v>
      </c>
      <c r="V86" s="19">
        <f t="shared" si="52"/>
        <v>758.306506740713</v>
      </c>
      <c r="W86" s="19">
        <f t="shared" si="53"/>
        <v>41.3277046173688</v>
      </c>
      <c r="X86" s="19">
        <f t="shared" si="54"/>
        <v>9225.26206403267</v>
      </c>
    </row>
    <row r="87" s="26" customFormat="1" customHeight="1" spans="1:24">
      <c r="A87" s="10">
        <v>83</v>
      </c>
      <c r="B87" s="11" t="s">
        <v>135</v>
      </c>
      <c r="C87" s="11" t="s">
        <v>128</v>
      </c>
      <c r="D87" s="11" t="s">
        <v>136</v>
      </c>
      <c r="E87" s="11" t="s">
        <v>24</v>
      </c>
      <c r="F87" s="11">
        <v>8.3</v>
      </c>
      <c r="G87" s="13">
        <v>32.5</v>
      </c>
      <c r="H87" s="14">
        <f t="shared" si="59"/>
        <v>0.922222222222222</v>
      </c>
      <c r="I87" s="17">
        <f t="shared" si="60"/>
        <v>0.40625</v>
      </c>
      <c r="J87" s="33">
        <v>1</v>
      </c>
      <c r="K87" s="17">
        <f t="shared" si="43"/>
        <v>0.374652777777778</v>
      </c>
      <c r="L87" s="17">
        <f>SQRT(8.3*8.3+14.53*14.53)*32.5/2</f>
        <v>271.919801193753</v>
      </c>
      <c r="M87" s="11">
        <v>1</v>
      </c>
      <c r="N87" s="18">
        <f t="shared" si="44"/>
        <v>5</v>
      </c>
      <c r="O87" s="19">
        <f t="shared" si="45"/>
        <v>1380.97013888889</v>
      </c>
      <c r="P87" s="19">
        <f t="shared" si="46"/>
        <v>624</v>
      </c>
      <c r="Q87" s="19">
        <f t="shared" si="47"/>
        <v>58</v>
      </c>
      <c r="R87" s="19">
        <f t="shared" si="48"/>
        <v>927.442304327556</v>
      </c>
      <c r="S87" s="19">
        <f t="shared" si="49"/>
        <v>134.875</v>
      </c>
      <c r="T87" s="19">
        <f t="shared" si="50"/>
        <v>250</v>
      </c>
      <c r="U87" s="19">
        <f t="shared" si="51"/>
        <v>151.88793494474</v>
      </c>
      <c r="V87" s="19">
        <f t="shared" si="52"/>
        <v>317.445784034507</v>
      </c>
      <c r="W87" s="19">
        <f t="shared" si="53"/>
        <v>17.3007952298806</v>
      </c>
      <c r="X87" s="19">
        <f t="shared" si="54"/>
        <v>3861.92195742557</v>
      </c>
    </row>
    <row r="88" s="26" customFormat="1" customHeight="1" spans="1:24">
      <c r="A88" s="10">
        <v>84</v>
      </c>
      <c r="B88" s="11" t="s">
        <v>137</v>
      </c>
      <c r="C88" s="11" t="s">
        <v>128</v>
      </c>
      <c r="D88" s="11" t="s">
        <v>129</v>
      </c>
      <c r="E88" s="11" t="s">
        <v>24</v>
      </c>
      <c r="F88" s="11">
        <v>13.3</v>
      </c>
      <c r="G88" s="13">
        <v>50.8</v>
      </c>
      <c r="H88" s="14">
        <f t="shared" ref="H88:H93" si="63">1+(F88-8)/8</f>
        <v>1.6625</v>
      </c>
      <c r="I88" s="17">
        <f t="shared" ref="I88:I93" si="64">1+(G88-70)/7/10</f>
        <v>0.725714285714286</v>
      </c>
      <c r="J88" s="33">
        <v>1</v>
      </c>
      <c r="K88" s="17">
        <f t="shared" si="43"/>
        <v>1.2065</v>
      </c>
      <c r="L88" s="17">
        <v>0</v>
      </c>
      <c r="M88" s="11">
        <v>0.8</v>
      </c>
      <c r="N88" s="18">
        <f t="shared" si="44"/>
        <v>5</v>
      </c>
      <c r="O88" s="19">
        <f t="shared" si="45"/>
        <v>4447.159</v>
      </c>
      <c r="P88" s="19">
        <f t="shared" si="46"/>
        <v>624</v>
      </c>
      <c r="Q88" s="19">
        <f t="shared" si="47"/>
        <v>58</v>
      </c>
      <c r="R88" s="19">
        <f t="shared" si="48"/>
        <v>0</v>
      </c>
      <c r="S88" s="19">
        <f t="shared" si="49"/>
        <v>337.82</v>
      </c>
      <c r="T88" s="19">
        <f t="shared" si="50"/>
        <v>250</v>
      </c>
      <c r="U88" s="19">
        <f t="shared" si="51"/>
        <v>257.264055</v>
      </c>
      <c r="V88" s="19">
        <f t="shared" si="52"/>
        <v>537.68187495</v>
      </c>
      <c r="W88" s="19">
        <f t="shared" si="53"/>
        <v>29.303662184775</v>
      </c>
      <c r="X88" s="19">
        <f t="shared" si="54"/>
        <v>6541.22859213477</v>
      </c>
    </row>
    <row r="89" s="26" customFormat="1" customHeight="1" spans="1:24">
      <c r="A89" s="10">
        <v>85</v>
      </c>
      <c r="B89" s="11" t="s">
        <v>138</v>
      </c>
      <c r="C89" s="11" t="s">
        <v>128</v>
      </c>
      <c r="D89" s="11" t="s">
        <v>139</v>
      </c>
      <c r="E89" s="11" t="s">
        <v>24</v>
      </c>
      <c r="F89" s="11">
        <v>7.92</v>
      </c>
      <c r="G89" s="13">
        <v>33.5</v>
      </c>
      <c r="H89" s="14">
        <f t="shared" si="63"/>
        <v>0.99</v>
      </c>
      <c r="I89" s="17">
        <f t="shared" si="64"/>
        <v>0.478571428571429</v>
      </c>
      <c r="J89" s="33">
        <v>1</v>
      </c>
      <c r="K89" s="17">
        <f t="shared" si="43"/>
        <v>0.473785714285714</v>
      </c>
      <c r="L89" s="17">
        <f>SQRT(7.29*7.29+13.86*13.86)*33.5/2</f>
        <v>262.309331860782</v>
      </c>
      <c r="M89" s="11">
        <v>0.8</v>
      </c>
      <c r="N89" s="18">
        <f t="shared" si="44"/>
        <v>5</v>
      </c>
      <c r="O89" s="19">
        <f t="shared" si="45"/>
        <v>1746.37414285714</v>
      </c>
      <c r="P89" s="19">
        <f t="shared" si="46"/>
        <v>624</v>
      </c>
      <c r="Q89" s="19">
        <f t="shared" si="47"/>
        <v>58</v>
      </c>
      <c r="R89" s="19">
        <f t="shared" si="48"/>
        <v>894.663684364207</v>
      </c>
      <c r="S89" s="19">
        <f t="shared" si="49"/>
        <v>132.66</v>
      </c>
      <c r="T89" s="19">
        <f t="shared" si="50"/>
        <v>250</v>
      </c>
      <c r="U89" s="19">
        <f t="shared" si="51"/>
        <v>166.756402224961</v>
      </c>
      <c r="V89" s="19">
        <f t="shared" si="52"/>
        <v>348.520880650168</v>
      </c>
      <c r="W89" s="19">
        <f t="shared" si="53"/>
        <v>18.9943879954342</v>
      </c>
      <c r="X89" s="19">
        <f t="shared" si="54"/>
        <v>4239.96949809191</v>
      </c>
    </row>
    <row r="90" s="26" customFormat="1" customHeight="1" spans="1:24">
      <c r="A90" s="10">
        <v>86</v>
      </c>
      <c r="B90" s="32" t="s">
        <v>140</v>
      </c>
      <c r="C90" s="11" t="s">
        <v>128</v>
      </c>
      <c r="D90" s="11" t="s">
        <v>139</v>
      </c>
      <c r="E90" s="11" t="s">
        <v>24</v>
      </c>
      <c r="F90" s="11">
        <v>6.2</v>
      </c>
      <c r="G90" s="13">
        <v>31</v>
      </c>
      <c r="H90" s="14">
        <f t="shared" si="63"/>
        <v>0.775</v>
      </c>
      <c r="I90" s="17">
        <f t="shared" si="64"/>
        <v>0.442857142857143</v>
      </c>
      <c r="J90" s="33">
        <v>1</v>
      </c>
      <c r="K90" s="17">
        <f t="shared" si="43"/>
        <v>0.343214285714286</v>
      </c>
      <c r="L90" s="17">
        <f>SQRT(6.2*6.2+12.4*12.4)*31/2</f>
        <v>214.88613263773</v>
      </c>
      <c r="M90" s="11">
        <v>0.67</v>
      </c>
      <c r="N90" s="18">
        <f t="shared" si="44"/>
        <v>5</v>
      </c>
      <c r="O90" s="19">
        <f t="shared" si="45"/>
        <v>1265.08785714286</v>
      </c>
      <c r="P90" s="19">
        <f t="shared" si="46"/>
        <v>624</v>
      </c>
      <c r="Q90" s="19">
        <f t="shared" si="47"/>
        <v>58</v>
      </c>
      <c r="R90" s="19">
        <f t="shared" si="48"/>
        <v>732.916430310158</v>
      </c>
      <c r="S90" s="19">
        <f t="shared" si="49"/>
        <v>96.1</v>
      </c>
      <c r="T90" s="19">
        <f t="shared" si="50"/>
        <v>250</v>
      </c>
      <c r="U90" s="19">
        <f t="shared" si="51"/>
        <v>136.174692935386</v>
      </c>
      <c r="V90" s="19">
        <f t="shared" si="52"/>
        <v>284.605108234956</v>
      </c>
      <c r="W90" s="19">
        <f t="shared" si="53"/>
        <v>15.5109783988051</v>
      </c>
      <c r="X90" s="19">
        <f t="shared" si="54"/>
        <v>3462.39506702216</v>
      </c>
    </row>
    <row r="91" s="26" customFormat="1" customHeight="1" spans="1:24">
      <c r="A91" s="10">
        <v>87</v>
      </c>
      <c r="B91" s="11" t="s">
        <v>141</v>
      </c>
      <c r="C91" s="11" t="s">
        <v>128</v>
      </c>
      <c r="D91" s="11" t="s">
        <v>129</v>
      </c>
      <c r="E91" s="11" t="s">
        <v>24</v>
      </c>
      <c r="F91" s="11">
        <v>5.6</v>
      </c>
      <c r="G91" s="13">
        <v>30</v>
      </c>
      <c r="H91" s="14">
        <f t="shared" si="63"/>
        <v>0.7</v>
      </c>
      <c r="I91" s="17">
        <f t="shared" si="64"/>
        <v>0.428571428571429</v>
      </c>
      <c r="J91" s="33">
        <v>1</v>
      </c>
      <c r="K91" s="17">
        <f t="shared" si="43"/>
        <v>0.3</v>
      </c>
      <c r="L91" s="17">
        <f>SQRT(5.6*5.6+12.88*12.88)*30/2</f>
        <v>210.670928226939</v>
      </c>
      <c r="M91" s="11">
        <v>0.8</v>
      </c>
      <c r="N91" s="18">
        <f t="shared" si="44"/>
        <v>5</v>
      </c>
      <c r="O91" s="19">
        <f t="shared" si="45"/>
        <v>1105.8</v>
      </c>
      <c r="P91" s="19">
        <f t="shared" si="46"/>
        <v>624</v>
      </c>
      <c r="Q91" s="19">
        <f t="shared" si="47"/>
        <v>58</v>
      </c>
      <c r="R91" s="19">
        <f t="shared" si="48"/>
        <v>718.539548322185</v>
      </c>
      <c r="S91" s="19">
        <f t="shared" si="49"/>
        <v>84</v>
      </c>
      <c r="T91" s="19">
        <f t="shared" si="50"/>
        <v>250</v>
      </c>
      <c r="U91" s="19">
        <f t="shared" si="51"/>
        <v>127.815279674498</v>
      </c>
      <c r="V91" s="19">
        <f t="shared" si="52"/>
        <v>267.133934519701</v>
      </c>
      <c r="W91" s="19">
        <f t="shared" si="53"/>
        <v>14.5587994313237</v>
      </c>
      <c r="X91" s="19">
        <f t="shared" si="54"/>
        <v>3249.84756194771</v>
      </c>
    </row>
    <row r="92" s="26" customFormat="1" customHeight="1" spans="1:24">
      <c r="A92" s="10">
        <v>88</v>
      </c>
      <c r="B92" s="32" t="s">
        <v>142</v>
      </c>
      <c r="C92" s="11" t="s">
        <v>128</v>
      </c>
      <c r="D92" s="11" t="s">
        <v>129</v>
      </c>
      <c r="E92" s="11" t="s">
        <v>24</v>
      </c>
      <c r="F92" s="11">
        <v>7.5</v>
      </c>
      <c r="G92" s="13">
        <v>28.6</v>
      </c>
      <c r="H92" s="14">
        <f t="shared" si="63"/>
        <v>0.9375</v>
      </c>
      <c r="I92" s="17">
        <f t="shared" si="64"/>
        <v>0.408571428571429</v>
      </c>
      <c r="J92" s="33">
        <v>1</v>
      </c>
      <c r="K92" s="17">
        <f t="shared" si="43"/>
        <v>0.383035714285714</v>
      </c>
      <c r="L92" s="17">
        <f>SQRT(7.5*7.5+13.13*13.13)*28.6/2</f>
        <v>216.231368170763</v>
      </c>
      <c r="M92" s="11">
        <v>0.33</v>
      </c>
      <c r="N92" s="18">
        <f t="shared" si="44"/>
        <v>5</v>
      </c>
      <c r="O92" s="19">
        <f t="shared" si="45"/>
        <v>1411.86964285714</v>
      </c>
      <c r="P92" s="19">
        <f t="shared" si="46"/>
        <v>624</v>
      </c>
      <c r="Q92" s="19">
        <f t="shared" si="47"/>
        <v>58</v>
      </c>
      <c r="R92" s="19">
        <f t="shared" si="48"/>
        <v>737.504652047384</v>
      </c>
      <c r="S92" s="19">
        <f t="shared" si="49"/>
        <v>107.25</v>
      </c>
      <c r="T92" s="19">
        <f t="shared" si="50"/>
        <v>250</v>
      </c>
      <c r="U92" s="19">
        <f t="shared" si="51"/>
        <v>143.488093270704</v>
      </c>
      <c r="V92" s="19">
        <f t="shared" si="52"/>
        <v>299.890114935771</v>
      </c>
      <c r="W92" s="19">
        <f t="shared" si="53"/>
        <v>16.3440112639995</v>
      </c>
      <c r="X92" s="19">
        <f t="shared" si="54"/>
        <v>3648.346514375</v>
      </c>
    </row>
    <row r="93" s="26" customFormat="1" customHeight="1" spans="1:24">
      <c r="A93" s="10">
        <v>89</v>
      </c>
      <c r="B93" s="11" t="s">
        <v>143</v>
      </c>
      <c r="C93" s="11" t="s">
        <v>128</v>
      </c>
      <c r="D93" s="11" t="s">
        <v>131</v>
      </c>
      <c r="E93" s="11" t="s">
        <v>24</v>
      </c>
      <c r="F93" s="11">
        <v>8.3</v>
      </c>
      <c r="G93" s="13">
        <v>24</v>
      </c>
      <c r="H93" s="14">
        <f t="shared" si="63"/>
        <v>1.0375</v>
      </c>
      <c r="I93" s="17">
        <f t="shared" si="64"/>
        <v>0.342857142857143</v>
      </c>
      <c r="J93" s="33">
        <v>1</v>
      </c>
      <c r="K93" s="17">
        <f t="shared" si="43"/>
        <v>0.355714285714286</v>
      </c>
      <c r="L93" s="17">
        <f>SQRT(8.3*8.3+14.53*14.53)*24/2</f>
        <v>200.802314727694</v>
      </c>
      <c r="M93" s="11">
        <v>0.6</v>
      </c>
      <c r="N93" s="18">
        <f t="shared" si="44"/>
        <v>5</v>
      </c>
      <c r="O93" s="19">
        <f t="shared" si="45"/>
        <v>1311.16285714286</v>
      </c>
      <c r="P93" s="19">
        <f t="shared" si="46"/>
        <v>624</v>
      </c>
      <c r="Q93" s="19">
        <f t="shared" si="47"/>
        <v>58</v>
      </c>
      <c r="R93" s="19">
        <f t="shared" si="48"/>
        <v>684.880470888041</v>
      </c>
      <c r="S93" s="19">
        <f t="shared" si="49"/>
        <v>99.6</v>
      </c>
      <c r="T93" s="19">
        <f t="shared" si="50"/>
        <v>250</v>
      </c>
      <c r="U93" s="19">
        <f t="shared" si="51"/>
        <v>136.24394976139</v>
      </c>
      <c r="V93" s="19">
        <f t="shared" si="52"/>
        <v>284.749855001306</v>
      </c>
      <c r="W93" s="19">
        <f t="shared" si="53"/>
        <v>15.5188670975712</v>
      </c>
      <c r="X93" s="19">
        <f t="shared" si="54"/>
        <v>3464.15599989117</v>
      </c>
    </row>
    <row r="94" s="26" customFormat="1" customHeight="1" spans="1:24">
      <c r="A94" s="10">
        <v>90</v>
      </c>
      <c r="B94" s="11" t="s">
        <v>144</v>
      </c>
      <c r="C94" s="11" t="s">
        <v>128</v>
      </c>
      <c r="D94" s="11" t="s">
        <v>139</v>
      </c>
      <c r="E94" s="11" t="s">
        <v>24</v>
      </c>
      <c r="F94" s="11">
        <v>7.45</v>
      </c>
      <c r="G94" s="13">
        <v>24.1</v>
      </c>
      <c r="H94" s="14">
        <f t="shared" ref="H94:H98" si="65">1+(F94-9)/9</f>
        <v>0.827777777777778</v>
      </c>
      <c r="I94" s="17">
        <f t="shared" ref="I94:I98" si="66">1+(G94-80)/8/10</f>
        <v>0.30125</v>
      </c>
      <c r="J94" s="33">
        <v>1</v>
      </c>
      <c r="K94" s="17">
        <f t="shared" si="43"/>
        <v>0.249368055555556</v>
      </c>
      <c r="L94" s="17">
        <f>SQRT(7.45*7.45+13.04*13.04)*24.1</f>
        <v>361.936829738285</v>
      </c>
      <c r="M94" s="11">
        <v>0.88</v>
      </c>
      <c r="N94" s="18">
        <f t="shared" si="44"/>
        <v>5</v>
      </c>
      <c r="O94" s="19">
        <f t="shared" si="45"/>
        <v>919.170652777778</v>
      </c>
      <c r="P94" s="19">
        <f t="shared" si="46"/>
        <v>624</v>
      </c>
      <c r="Q94" s="19">
        <f t="shared" si="47"/>
        <v>58</v>
      </c>
      <c r="R94" s="19">
        <f t="shared" si="48"/>
        <v>1234.46518392496</v>
      </c>
      <c r="S94" s="19">
        <f t="shared" si="49"/>
        <v>89.7725</v>
      </c>
      <c r="T94" s="19">
        <f t="shared" si="50"/>
        <v>250</v>
      </c>
      <c r="U94" s="19">
        <f t="shared" si="51"/>
        <v>142.893375151623</v>
      </c>
      <c r="V94" s="19">
        <f t="shared" si="52"/>
        <v>298.647154066893</v>
      </c>
      <c r="W94" s="19">
        <f t="shared" si="53"/>
        <v>16.2762698966456</v>
      </c>
      <c r="X94" s="19">
        <f t="shared" si="54"/>
        <v>3633.2251358179</v>
      </c>
    </row>
    <row r="95" s="26" customFormat="1" customHeight="1" spans="1:24">
      <c r="A95" s="10">
        <v>91</v>
      </c>
      <c r="B95" s="11" t="s">
        <v>145</v>
      </c>
      <c r="C95" s="11" t="s">
        <v>128</v>
      </c>
      <c r="D95" s="11" t="s">
        <v>129</v>
      </c>
      <c r="E95" s="11" t="s">
        <v>24</v>
      </c>
      <c r="F95" s="11">
        <v>5.15</v>
      </c>
      <c r="G95" s="13">
        <v>60</v>
      </c>
      <c r="H95" s="14">
        <f t="shared" ref="H95:H100" si="67">1+(F95-8)/8</f>
        <v>0.64375</v>
      </c>
      <c r="I95" s="17">
        <f t="shared" ref="I95:I100" si="68">1+(G95-70)/7/10</f>
        <v>0.857142857142857</v>
      </c>
      <c r="J95" s="33">
        <v>1</v>
      </c>
      <c r="K95" s="17">
        <f t="shared" si="43"/>
        <v>0.551785714285714</v>
      </c>
      <c r="L95" s="17">
        <v>0</v>
      </c>
      <c r="M95" s="11">
        <v>0.53</v>
      </c>
      <c r="N95" s="18">
        <f t="shared" si="44"/>
        <v>5</v>
      </c>
      <c r="O95" s="19">
        <f t="shared" si="45"/>
        <v>2033.88214285714</v>
      </c>
      <c r="P95" s="19">
        <f t="shared" si="46"/>
        <v>624</v>
      </c>
      <c r="Q95" s="19">
        <f t="shared" si="47"/>
        <v>58</v>
      </c>
      <c r="R95" s="19">
        <f t="shared" si="48"/>
        <v>0</v>
      </c>
      <c r="S95" s="19">
        <f t="shared" si="49"/>
        <v>154.5</v>
      </c>
      <c r="T95" s="19">
        <f t="shared" si="50"/>
        <v>250</v>
      </c>
      <c r="U95" s="19">
        <f t="shared" si="51"/>
        <v>140.417196428571</v>
      </c>
      <c r="V95" s="19">
        <f t="shared" si="52"/>
        <v>293.471940535714</v>
      </c>
      <c r="W95" s="19">
        <f t="shared" si="53"/>
        <v>15.9942207591964</v>
      </c>
      <c r="X95" s="19">
        <f t="shared" si="54"/>
        <v>3570.26550058063</v>
      </c>
    </row>
    <row r="96" s="26" customFormat="1" customHeight="1" spans="1:24">
      <c r="A96" s="10">
        <v>92</v>
      </c>
      <c r="B96" s="11" t="s">
        <v>146</v>
      </c>
      <c r="C96" s="11" t="s">
        <v>147</v>
      </c>
      <c r="D96" s="11" t="s">
        <v>148</v>
      </c>
      <c r="E96" s="11" t="s">
        <v>24</v>
      </c>
      <c r="F96" s="11">
        <v>15.65</v>
      </c>
      <c r="G96" s="13">
        <v>44.9</v>
      </c>
      <c r="H96" s="14">
        <f>1+(F96-11)/11</f>
        <v>1.42272727272727</v>
      </c>
      <c r="I96" s="17">
        <f>1+(G96-100)/10/10</f>
        <v>0.449</v>
      </c>
      <c r="J96" s="33">
        <v>1</v>
      </c>
      <c r="K96" s="17">
        <f t="shared" si="43"/>
        <v>0.638804545454546</v>
      </c>
      <c r="L96" s="17">
        <v>0</v>
      </c>
      <c r="M96" s="11">
        <v>4.8</v>
      </c>
      <c r="N96" s="18">
        <f t="shared" si="44"/>
        <v>3</v>
      </c>
      <c r="O96" s="19">
        <f t="shared" si="45"/>
        <v>3869.23913181818</v>
      </c>
      <c r="P96" s="19">
        <f t="shared" si="46"/>
        <v>1482</v>
      </c>
      <c r="Q96" s="19">
        <f t="shared" si="47"/>
        <v>173</v>
      </c>
      <c r="R96" s="19">
        <f t="shared" si="48"/>
        <v>0</v>
      </c>
      <c r="S96" s="19">
        <f t="shared" si="49"/>
        <v>351.3425</v>
      </c>
      <c r="T96" s="19">
        <f t="shared" si="50"/>
        <v>250</v>
      </c>
      <c r="U96" s="19">
        <f t="shared" si="51"/>
        <v>275.651173431818</v>
      </c>
      <c r="V96" s="19">
        <f t="shared" si="52"/>
        <v>576.1109524725</v>
      </c>
      <c r="W96" s="19">
        <f t="shared" si="53"/>
        <v>31.3980469097513</v>
      </c>
      <c r="X96" s="19">
        <f t="shared" si="54"/>
        <v>7008.74180463225</v>
      </c>
    </row>
    <row r="97" s="26" customFormat="1" customHeight="1" spans="1:24">
      <c r="A97" s="10">
        <v>93</v>
      </c>
      <c r="B97" s="11" t="s">
        <v>149</v>
      </c>
      <c r="C97" s="11" t="s">
        <v>147</v>
      </c>
      <c r="D97" s="11" t="s">
        <v>150</v>
      </c>
      <c r="E97" s="11" t="s">
        <v>24</v>
      </c>
      <c r="F97" s="11">
        <v>9</v>
      </c>
      <c r="G97" s="13">
        <v>29</v>
      </c>
      <c r="H97" s="14">
        <f t="shared" si="65"/>
        <v>1</v>
      </c>
      <c r="I97" s="17">
        <f t="shared" si="66"/>
        <v>0.3625</v>
      </c>
      <c r="J97" s="33">
        <v>1</v>
      </c>
      <c r="K97" s="17">
        <f t="shared" si="43"/>
        <v>0.3625</v>
      </c>
      <c r="L97" s="17">
        <f>SQRT(9*9+15.75*15.75)*29/2</f>
        <v>263.03115903824</v>
      </c>
      <c r="M97" s="11">
        <v>2.4</v>
      </c>
      <c r="N97" s="18">
        <f t="shared" si="44"/>
        <v>4</v>
      </c>
      <c r="O97" s="19">
        <f t="shared" si="45"/>
        <v>1692.5125</v>
      </c>
      <c r="P97" s="19">
        <f t="shared" si="46"/>
        <v>944</v>
      </c>
      <c r="Q97" s="19">
        <f t="shared" si="47"/>
        <v>115</v>
      </c>
      <c r="R97" s="19">
        <f t="shared" si="48"/>
        <v>897.125634754907</v>
      </c>
      <c r="S97" s="19">
        <f t="shared" si="49"/>
        <v>130.5</v>
      </c>
      <c r="T97" s="19">
        <f t="shared" si="50"/>
        <v>250</v>
      </c>
      <c r="U97" s="19">
        <f t="shared" si="51"/>
        <v>181.311216063971</v>
      </c>
      <c r="V97" s="19">
        <f t="shared" si="52"/>
        <v>378.940441573699</v>
      </c>
      <c r="W97" s="19">
        <f t="shared" si="53"/>
        <v>20.6522540657666</v>
      </c>
      <c r="X97" s="19">
        <f t="shared" si="54"/>
        <v>4610.04204645834</v>
      </c>
    </row>
    <row r="98" s="26" customFormat="1" customHeight="1" spans="1:24">
      <c r="A98" s="10">
        <v>94</v>
      </c>
      <c r="B98" s="11" t="s">
        <v>151</v>
      </c>
      <c r="C98" s="11" t="s">
        <v>147</v>
      </c>
      <c r="D98" s="11" t="s">
        <v>152</v>
      </c>
      <c r="E98" s="11" t="s">
        <v>24</v>
      </c>
      <c r="F98" s="11">
        <v>8.9</v>
      </c>
      <c r="G98" s="13">
        <v>48</v>
      </c>
      <c r="H98" s="14">
        <f t="shared" si="65"/>
        <v>0.988888888888889</v>
      </c>
      <c r="I98" s="17">
        <f t="shared" si="66"/>
        <v>0.6</v>
      </c>
      <c r="J98" s="33">
        <v>1</v>
      </c>
      <c r="K98" s="17">
        <f t="shared" si="43"/>
        <v>0.593333333333333</v>
      </c>
      <c r="L98" s="17">
        <f>SQRT(8.9*8.9+15.58*15.58)*48/2</f>
        <v>430.628757051825</v>
      </c>
      <c r="M98" s="11">
        <v>1.35</v>
      </c>
      <c r="N98" s="18">
        <f t="shared" si="44"/>
        <v>4</v>
      </c>
      <c r="O98" s="19">
        <f t="shared" si="45"/>
        <v>2770.27333333333</v>
      </c>
      <c r="P98" s="19">
        <f t="shared" si="46"/>
        <v>944</v>
      </c>
      <c r="Q98" s="19">
        <f t="shared" si="47"/>
        <v>115</v>
      </c>
      <c r="R98" s="19">
        <f t="shared" si="48"/>
        <v>1468.7541142518</v>
      </c>
      <c r="S98" s="19">
        <f t="shared" si="49"/>
        <v>213.6</v>
      </c>
      <c r="T98" s="19">
        <f t="shared" si="50"/>
        <v>250</v>
      </c>
      <c r="U98" s="19">
        <f t="shared" si="51"/>
        <v>259.273235141331</v>
      </c>
      <c r="V98" s="19">
        <f t="shared" si="52"/>
        <v>541.881061445382</v>
      </c>
      <c r="W98" s="19">
        <f t="shared" si="53"/>
        <v>29.5325178487733</v>
      </c>
      <c r="X98" s="19">
        <f t="shared" si="54"/>
        <v>6592.31426202062</v>
      </c>
    </row>
    <row r="99" s="26" customFormat="1" customHeight="1" spans="1:24">
      <c r="A99" s="10">
        <v>95</v>
      </c>
      <c r="B99" s="11" t="s">
        <v>153</v>
      </c>
      <c r="C99" s="11" t="s">
        <v>147</v>
      </c>
      <c r="D99" s="11" t="s">
        <v>154</v>
      </c>
      <c r="E99" s="11" t="s">
        <v>24</v>
      </c>
      <c r="F99" s="11">
        <v>8</v>
      </c>
      <c r="G99" s="13">
        <v>38.3</v>
      </c>
      <c r="H99" s="14">
        <f t="shared" si="67"/>
        <v>1</v>
      </c>
      <c r="I99" s="17">
        <f t="shared" si="68"/>
        <v>0.547142857142857</v>
      </c>
      <c r="J99" s="33">
        <v>1</v>
      </c>
      <c r="K99" s="17">
        <f t="shared" si="43"/>
        <v>0.547142857142857</v>
      </c>
      <c r="L99" s="17">
        <f>SQRT(8*8+14*14)*38.3</f>
        <v>617.568943519669</v>
      </c>
      <c r="M99" s="11">
        <v>0.8</v>
      </c>
      <c r="N99" s="18">
        <f t="shared" si="44"/>
        <v>5</v>
      </c>
      <c r="O99" s="19">
        <f t="shared" si="45"/>
        <v>2016.76857142857</v>
      </c>
      <c r="P99" s="19">
        <f t="shared" si="46"/>
        <v>624</v>
      </c>
      <c r="Q99" s="19">
        <f t="shared" si="47"/>
        <v>58</v>
      </c>
      <c r="R99" s="19">
        <f t="shared" si="48"/>
        <v>2106.3547470414</v>
      </c>
      <c r="S99" s="19">
        <f t="shared" si="49"/>
        <v>153.2</v>
      </c>
      <c r="T99" s="19">
        <f t="shared" si="50"/>
        <v>250</v>
      </c>
      <c r="U99" s="19">
        <f t="shared" si="51"/>
        <v>234.374549331149</v>
      </c>
      <c r="V99" s="19">
        <f t="shared" si="52"/>
        <v>489.842808102101</v>
      </c>
      <c r="W99" s="19">
        <f t="shared" si="53"/>
        <v>26.6964330415645</v>
      </c>
      <c r="X99" s="19">
        <f t="shared" si="54"/>
        <v>5959.23710894479</v>
      </c>
    </row>
    <row r="100" s="26" customFormat="1" customHeight="1" spans="1:24">
      <c r="A100" s="10">
        <v>96</v>
      </c>
      <c r="B100" s="11" t="s">
        <v>155</v>
      </c>
      <c r="C100" s="11" t="s">
        <v>147</v>
      </c>
      <c r="D100" s="11" t="s">
        <v>156</v>
      </c>
      <c r="E100" s="11" t="s">
        <v>24</v>
      </c>
      <c r="F100" s="11">
        <v>6.4</v>
      </c>
      <c r="G100" s="13">
        <v>20</v>
      </c>
      <c r="H100" s="14">
        <f t="shared" si="67"/>
        <v>0.8</v>
      </c>
      <c r="I100" s="17">
        <f t="shared" si="68"/>
        <v>0.285714285714286</v>
      </c>
      <c r="J100" s="33">
        <v>1</v>
      </c>
      <c r="K100" s="17">
        <f t="shared" si="43"/>
        <v>0.228571428571429</v>
      </c>
      <c r="L100" s="17">
        <v>0</v>
      </c>
      <c r="M100" s="11">
        <v>0.8</v>
      </c>
      <c r="N100" s="18">
        <f t="shared" si="44"/>
        <v>5</v>
      </c>
      <c r="O100" s="19">
        <f t="shared" si="45"/>
        <v>842.514285714286</v>
      </c>
      <c r="P100" s="19">
        <f t="shared" si="46"/>
        <v>624</v>
      </c>
      <c r="Q100" s="19">
        <f t="shared" si="47"/>
        <v>58</v>
      </c>
      <c r="R100" s="19">
        <f t="shared" si="48"/>
        <v>0</v>
      </c>
      <c r="S100" s="19">
        <f t="shared" si="49"/>
        <v>64</v>
      </c>
      <c r="T100" s="19">
        <f t="shared" si="50"/>
        <v>250</v>
      </c>
      <c r="U100" s="19">
        <f t="shared" si="51"/>
        <v>82.7331428571429</v>
      </c>
      <c r="V100" s="19">
        <f t="shared" si="52"/>
        <v>172.912268571429</v>
      </c>
      <c r="W100" s="19">
        <f t="shared" si="53"/>
        <v>9.42371863714286</v>
      </c>
      <c r="X100" s="19">
        <f t="shared" si="54"/>
        <v>2103.58341578</v>
      </c>
    </row>
    <row r="101" s="26" customFormat="1" customHeight="1" spans="1:24">
      <c r="A101" s="10">
        <v>97</v>
      </c>
      <c r="B101" s="11" t="s">
        <v>157</v>
      </c>
      <c r="C101" s="11" t="s">
        <v>147</v>
      </c>
      <c r="D101" s="11" t="s">
        <v>150</v>
      </c>
      <c r="E101" s="11" t="s">
        <v>24</v>
      </c>
      <c r="F101" s="11">
        <v>11.8</v>
      </c>
      <c r="G101" s="13">
        <v>35</v>
      </c>
      <c r="H101" s="14">
        <f t="shared" ref="H101:H108" si="69">1+(F101-9)/9</f>
        <v>1.31111111111111</v>
      </c>
      <c r="I101" s="17">
        <f t="shared" ref="I101:I108" si="70">1+(G101-80)/8/10</f>
        <v>0.4375</v>
      </c>
      <c r="J101" s="33">
        <v>1</v>
      </c>
      <c r="K101" s="17">
        <f t="shared" si="43"/>
        <v>0.573611111111111</v>
      </c>
      <c r="L101" s="17">
        <f>SQRT(11.8*11.8+20.65*20.65)*35</f>
        <v>832.428112511825</v>
      </c>
      <c r="M101" s="11">
        <v>0.96</v>
      </c>
      <c r="N101" s="18">
        <f t="shared" si="44"/>
        <v>5</v>
      </c>
      <c r="O101" s="19">
        <f t="shared" si="45"/>
        <v>2114.33055555556</v>
      </c>
      <c r="P101" s="19">
        <f t="shared" si="46"/>
        <v>624</v>
      </c>
      <c r="Q101" s="19">
        <f t="shared" si="47"/>
        <v>58</v>
      </c>
      <c r="R101" s="19">
        <f t="shared" si="48"/>
        <v>2839.17921190633</v>
      </c>
      <c r="S101" s="19">
        <f t="shared" si="49"/>
        <v>206.5</v>
      </c>
      <c r="T101" s="19">
        <f t="shared" si="50"/>
        <v>250</v>
      </c>
      <c r="U101" s="19">
        <f t="shared" si="51"/>
        <v>274.140439535785</v>
      </c>
      <c r="V101" s="19">
        <f t="shared" si="52"/>
        <v>572.953518629791</v>
      </c>
      <c r="W101" s="19">
        <f t="shared" si="53"/>
        <v>31.2259667653236</v>
      </c>
      <c r="X101" s="19">
        <f t="shared" si="54"/>
        <v>6970.32969239279</v>
      </c>
    </row>
    <row r="102" s="26" customFormat="1" customHeight="1" spans="1:24">
      <c r="A102" s="10">
        <v>98</v>
      </c>
      <c r="B102" s="11" t="s">
        <v>158</v>
      </c>
      <c r="C102" s="11" t="s">
        <v>147</v>
      </c>
      <c r="D102" s="11" t="s">
        <v>150</v>
      </c>
      <c r="E102" s="11" t="s">
        <v>159</v>
      </c>
      <c r="F102" s="11">
        <v>5.2</v>
      </c>
      <c r="G102" s="13">
        <v>20.5</v>
      </c>
      <c r="H102" s="14">
        <f t="shared" ref="H102:H104" si="71">1+(F102-8)/8</f>
        <v>0.65</v>
      </c>
      <c r="I102" s="17">
        <f t="shared" ref="I102:I104" si="72">1+(G102-70)/7/10</f>
        <v>0.292857142857143</v>
      </c>
      <c r="J102" s="33">
        <v>1</v>
      </c>
      <c r="K102" s="17">
        <f t="shared" si="43"/>
        <v>0.190357142857143</v>
      </c>
      <c r="L102" s="17">
        <v>0</v>
      </c>
      <c r="M102" s="11">
        <v>1</v>
      </c>
      <c r="N102" s="18">
        <f t="shared" si="44"/>
        <v>5</v>
      </c>
      <c r="O102" s="19">
        <f t="shared" si="45"/>
        <v>701.656428571429</v>
      </c>
      <c r="P102" s="19">
        <f t="shared" si="46"/>
        <v>624</v>
      </c>
      <c r="Q102" s="19">
        <f t="shared" si="47"/>
        <v>58</v>
      </c>
      <c r="R102" s="19">
        <f t="shared" si="48"/>
        <v>0</v>
      </c>
      <c r="S102" s="19">
        <f t="shared" si="49"/>
        <v>53.3</v>
      </c>
      <c r="T102" s="19">
        <f t="shared" si="50"/>
        <v>250</v>
      </c>
      <c r="U102" s="19">
        <f t="shared" si="51"/>
        <v>75.9130392857143</v>
      </c>
      <c r="V102" s="19">
        <f t="shared" si="52"/>
        <v>158.658252107143</v>
      </c>
      <c r="W102" s="19">
        <f t="shared" si="53"/>
        <v>8.64687473983929</v>
      </c>
      <c r="X102" s="19">
        <f t="shared" si="54"/>
        <v>1930.17459470413</v>
      </c>
    </row>
    <row r="103" s="26" customFormat="1" customHeight="1" spans="1:24">
      <c r="A103" s="10">
        <v>99</v>
      </c>
      <c r="B103" s="11" t="s">
        <v>160</v>
      </c>
      <c r="C103" s="11" t="s">
        <v>161</v>
      </c>
      <c r="D103" s="11" t="s">
        <v>162</v>
      </c>
      <c r="E103" s="11" t="s">
        <v>24</v>
      </c>
      <c r="F103" s="11">
        <v>9</v>
      </c>
      <c r="G103" s="13">
        <v>36.2</v>
      </c>
      <c r="H103" s="14">
        <f t="shared" si="71"/>
        <v>1.125</v>
      </c>
      <c r="I103" s="17">
        <f t="shared" si="72"/>
        <v>0.517142857142857</v>
      </c>
      <c r="J103" s="33">
        <v>1</v>
      </c>
      <c r="K103" s="17">
        <f t="shared" si="43"/>
        <v>0.581785714285714</v>
      </c>
      <c r="L103" s="17">
        <f>SQRT(9*9+15.75*15.75)*36.2/2</f>
        <v>328.335446799458</v>
      </c>
      <c r="M103" s="11">
        <v>0.8</v>
      </c>
      <c r="N103" s="18">
        <f t="shared" si="44"/>
        <v>5</v>
      </c>
      <c r="O103" s="19">
        <f t="shared" si="45"/>
        <v>2144.46214285714</v>
      </c>
      <c r="P103" s="19">
        <f t="shared" si="46"/>
        <v>624</v>
      </c>
      <c r="Q103" s="19">
        <f t="shared" si="47"/>
        <v>58</v>
      </c>
      <c r="R103" s="19">
        <f t="shared" si="48"/>
        <v>1119.86027510785</v>
      </c>
      <c r="S103" s="19">
        <f t="shared" si="49"/>
        <v>162.9</v>
      </c>
      <c r="T103" s="19">
        <f t="shared" si="50"/>
        <v>250</v>
      </c>
      <c r="U103" s="19">
        <f t="shared" si="51"/>
        <v>196.165008808425</v>
      </c>
      <c r="V103" s="19">
        <f t="shared" si="52"/>
        <v>409.984868409607</v>
      </c>
      <c r="W103" s="19">
        <f t="shared" si="53"/>
        <v>22.3441753283236</v>
      </c>
      <c r="X103" s="19">
        <f t="shared" si="54"/>
        <v>4987.71647051135</v>
      </c>
    </row>
    <row r="104" s="26" customFormat="1" customHeight="1" spans="1:24">
      <c r="A104" s="10">
        <v>100</v>
      </c>
      <c r="B104" s="11" t="s">
        <v>163</v>
      </c>
      <c r="C104" s="11" t="s">
        <v>161</v>
      </c>
      <c r="D104" s="11" t="s">
        <v>164</v>
      </c>
      <c r="E104" s="11" t="s">
        <v>24</v>
      </c>
      <c r="F104" s="11">
        <v>8.93</v>
      </c>
      <c r="G104" s="13">
        <v>42</v>
      </c>
      <c r="H104" s="14">
        <f t="shared" si="71"/>
        <v>1.11625</v>
      </c>
      <c r="I104" s="17">
        <f t="shared" si="72"/>
        <v>0.6</v>
      </c>
      <c r="J104" s="33">
        <v>1</v>
      </c>
      <c r="K104" s="17">
        <f t="shared" si="43"/>
        <v>0.66975</v>
      </c>
      <c r="L104" s="17">
        <f>SQRT(8.93*8.93+15.63*15.63)*42</f>
        <v>756.048765093893</v>
      </c>
      <c r="M104" s="11">
        <v>0.8</v>
      </c>
      <c r="N104" s="18">
        <f t="shared" si="44"/>
        <v>5</v>
      </c>
      <c r="O104" s="19">
        <f t="shared" si="45"/>
        <v>2468.6985</v>
      </c>
      <c r="P104" s="19">
        <f t="shared" si="46"/>
        <v>624</v>
      </c>
      <c r="Q104" s="19">
        <f t="shared" si="47"/>
        <v>58</v>
      </c>
      <c r="R104" s="19">
        <f t="shared" si="48"/>
        <v>2578.67064408104</v>
      </c>
      <c r="S104" s="19">
        <f t="shared" si="49"/>
        <v>187.53</v>
      </c>
      <c r="T104" s="19">
        <f t="shared" si="50"/>
        <v>250</v>
      </c>
      <c r="U104" s="19">
        <f t="shared" si="51"/>
        <v>277.510461483647</v>
      </c>
      <c r="V104" s="19">
        <f t="shared" si="52"/>
        <v>579.996864500822</v>
      </c>
      <c r="W104" s="19">
        <f t="shared" si="53"/>
        <v>31.6098291152948</v>
      </c>
      <c r="X104" s="19">
        <f t="shared" si="54"/>
        <v>7056.0162991808</v>
      </c>
    </row>
    <row r="105" s="26" customFormat="1" customHeight="1" spans="1:24">
      <c r="A105" s="10">
        <v>101</v>
      </c>
      <c r="B105" s="11" t="s">
        <v>165</v>
      </c>
      <c r="C105" s="11" t="s">
        <v>161</v>
      </c>
      <c r="D105" s="11" t="s">
        <v>166</v>
      </c>
      <c r="E105" s="11" t="s">
        <v>24</v>
      </c>
      <c r="F105" s="11">
        <v>11.16</v>
      </c>
      <c r="G105" s="13">
        <v>90.5</v>
      </c>
      <c r="H105" s="14">
        <f t="shared" si="69"/>
        <v>1.24</v>
      </c>
      <c r="I105" s="17">
        <f t="shared" si="70"/>
        <v>1.13125</v>
      </c>
      <c r="J105" s="34">
        <v>1.1</v>
      </c>
      <c r="K105" s="17">
        <f t="shared" si="43"/>
        <v>1.543025</v>
      </c>
      <c r="L105" s="17">
        <f>SQRT(11.16*11.16+20.31*20.31)*90.5</f>
        <v>2097.26149619569</v>
      </c>
      <c r="M105" s="11">
        <v>0.9</v>
      </c>
      <c r="N105" s="18">
        <f t="shared" si="44"/>
        <v>5</v>
      </c>
      <c r="O105" s="19">
        <f t="shared" si="45"/>
        <v>5687.59015</v>
      </c>
      <c r="P105" s="19">
        <f t="shared" si="46"/>
        <v>686.4</v>
      </c>
      <c r="Q105" s="19">
        <f t="shared" si="47"/>
        <v>58</v>
      </c>
      <c r="R105" s="19">
        <f t="shared" si="48"/>
        <v>7153.17173030458</v>
      </c>
      <c r="S105" s="19">
        <f t="shared" si="49"/>
        <v>504.99</v>
      </c>
      <c r="T105" s="19">
        <f t="shared" si="50"/>
        <v>250</v>
      </c>
      <c r="U105" s="19">
        <f t="shared" si="51"/>
        <v>645.306834613706</v>
      </c>
      <c r="V105" s="19">
        <f t="shared" si="52"/>
        <v>1348.69128434265</v>
      </c>
      <c r="W105" s="19">
        <f t="shared" si="53"/>
        <v>73.5036749966742</v>
      </c>
      <c r="X105" s="19">
        <f t="shared" si="54"/>
        <v>16407.6536742576</v>
      </c>
    </row>
    <row r="106" s="26" customFormat="1" customHeight="1" spans="1:24">
      <c r="A106" s="10">
        <v>102</v>
      </c>
      <c r="B106" s="11" t="s">
        <v>167</v>
      </c>
      <c r="C106" s="11" t="s">
        <v>168</v>
      </c>
      <c r="D106" s="11" t="s">
        <v>169</v>
      </c>
      <c r="E106" s="11" t="s">
        <v>24</v>
      </c>
      <c r="F106" s="11">
        <v>7</v>
      </c>
      <c r="G106" s="13">
        <v>54.5</v>
      </c>
      <c r="H106" s="14">
        <f t="shared" si="69"/>
        <v>0.777777777777778</v>
      </c>
      <c r="I106" s="17">
        <f t="shared" si="70"/>
        <v>0.68125</v>
      </c>
      <c r="J106" s="33">
        <v>1</v>
      </c>
      <c r="K106" s="17">
        <f t="shared" si="43"/>
        <v>0.529861111111111</v>
      </c>
      <c r="L106" s="17">
        <f>SQRT(7*7+12.46*12.46)*54.5/2</f>
        <v>389.44778690474</v>
      </c>
      <c r="M106" s="11">
        <v>2.77</v>
      </c>
      <c r="N106" s="18">
        <f t="shared" si="44"/>
        <v>4</v>
      </c>
      <c r="O106" s="19">
        <f t="shared" si="45"/>
        <v>2473.92152777778</v>
      </c>
      <c r="P106" s="19">
        <f t="shared" si="46"/>
        <v>944</v>
      </c>
      <c r="Q106" s="19">
        <f t="shared" si="47"/>
        <v>115</v>
      </c>
      <c r="R106" s="19">
        <f t="shared" si="48"/>
        <v>1328.29735575174</v>
      </c>
      <c r="S106" s="19">
        <f t="shared" si="49"/>
        <v>190.75</v>
      </c>
      <c r="T106" s="19">
        <f t="shared" si="50"/>
        <v>250</v>
      </c>
      <c r="U106" s="19">
        <f t="shared" si="51"/>
        <v>238.588599758828</v>
      </c>
      <c r="V106" s="19">
        <f t="shared" si="52"/>
        <v>498.650173495951</v>
      </c>
      <c r="W106" s="19">
        <f t="shared" si="53"/>
        <v>27.1764344555293</v>
      </c>
      <c r="X106" s="19">
        <f t="shared" si="54"/>
        <v>6066.38409123982</v>
      </c>
    </row>
    <row r="107" s="26" customFormat="1" customHeight="1" spans="1:24">
      <c r="A107" s="10">
        <v>103</v>
      </c>
      <c r="B107" s="11" t="s">
        <v>170</v>
      </c>
      <c r="C107" s="11" t="s">
        <v>168</v>
      </c>
      <c r="D107" s="11" t="s">
        <v>169</v>
      </c>
      <c r="E107" s="11" t="s">
        <v>24</v>
      </c>
      <c r="F107" s="11">
        <v>10.6</v>
      </c>
      <c r="G107" s="13">
        <v>60</v>
      </c>
      <c r="H107" s="14">
        <f t="shared" si="69"/>
        <v>1.17777777777778</v>
      </c>
      <c r="I107" s="17">
        <f t="shared" si="70"/>
        <v>0.75</v>
      </c>
      <c r="J107" s="33">
        <v>1</v>
      </c>
      <c r="K107" s="17">
        <f t="shared" si="43"/>
        <v>0.883333333333333</v>
      </c>
      <c r="L107" s="17">
        <f>SQRT(10.6*10.6+18.55*18.55)*60</f>
        <v>1281.89898197947</v>
      </c>
      <c r="M107" s="11">
        <v>1.08</v>
      </c>
      <c r="N107" s="18">
        <f t="shared" si="44"/>
        <v>4</v>
      </c>
      <c r="O107" s="19">
        <f t="shared" si="45"/>
        <v>4124.28333333333</v>
      </c>
      <c r="P107" s="19">
        <f t="shared" si="46"/>
        <v>944</v>
      </c>
      <c r="Q107" s="19">
        <f t="shared" si="47"/>
        <v>115</v>
      </c>
      <c r="R107" s="19">
        <f t="shared" si="48"/>
        <v>4372.19849581702</v>
      </c>
      <c r="S107" s="19">
        <f t="shared" si="49"/>
        <v>318</v>
      </c>
      <c r="T107" s="19">
        <f t="shared" si="50"/>
        <v>250</v>
      </c>
      <c r="U107" s="19">
        <f t="shared" si="51"/>
        <v>455.556682311766</v>
      </c>
      <c r="V107" s="19">
        <f t="shared" si="52"/>
        <v>952.11346603159</v>
      </c>
      <c r="W107" s="19">
        <f t="shared" si="53"/>
        <v>51.8901838987217</v>
      </c>
      <c r="X107" s="19">
        <f t="shared" si="54"/>
        <v>11583.0421613924</v>
      </c>
    </row>
    <row r="108" s="26" customFormat="1" customHeight="1" spans="1:24">
      <c r="A108" s="10">
        <v>104</v>
      </c>
      <c r="B108" s="11" t="s">
        <v>171</v>
      </c>
      <c r="C108" s="11" t="s">
        <v>168</v>
      </c>
      <c r="D108" s="11" t="s">
        <v>172</v>
      </c>
      <c r="E108" s="11" t="s">
        <v>24</v>
      </c>
      <c r="F108" s="11">
        <v>7.35</v>
      </c>
      <c r="G108" s="13">
        <v>42.3</v>
      </c>
      <c r="H108" s="14">
        <f t="shared" si="69"/>
        <v>0.816666666666667</v>
      </c>
      <c r="I108" s="17">
        <f t="shared" si="70"/>
        <v>0.52875</v>
      </c>
      <c r="J108" s="33">
        <v>1</v>
      </c>
      <c r="K108" s="17">
        <f t="shared" si="43"/>
        <v>0.4318125</v>
      </c>
      <c r="L108" s="17">
        <f>SQRT(7.35*7.35+12.86*12.86)*42.3</f>
        <v>626.55724679314</v>
      </c>
      <c r="M108" s="11">
        <v>1.35</v>
      </c>
      <c r="N108" s="18">
        <f t="shared" si="44"/>
        <v>4</v>
      </c>
      <c r="O108" s="19">
        <f t="shared" si="45"/>
        <v>2016.1325625</v>
      </c>
      <c r="P108" s="19">
        <f t="shared" si="46"/>
        <v>944</v>
      </c>
      <c r="Q108" s="19">
        <f t="shared" si="47"/>
        <v>115</v>
      </c>
      <c r="R108" s="19">
        <f t="shared" si="48"/>
        <v>2137.0113327823</v>
      </c>
      <c r="S108" s="19">
        <f t="shared" si="49"/>
        <v>155.4525</v>
      </c>
      <c r="T108" s="19">
        <f t="shared" si="50"/>
        <v>250</v>
      </c>
      <c r="U108" s="19">
        <f t="shared" si="51"/>
        <v>252.791837787703</v>
      </c>
      <c r="V108" s="19">
        <f t="shared" si="52"/>
        <v>528.3349409763</v>
      </c>
      <c r="W108" s="19">
        <f t="shared" si="53"/>
        <v>28.7942542832084</v>
      </c>
      <c r="X108" s="19">
        <f t="shared" si="54"/>
        <v>6427.51742832951</v>
      </c>
    </row>
    <row r="109" s="26" customFormat="1" customHeight="1" spans="1:24">
      <c r="A109" s="10">
        <v>105</v>
      </c>
      <c r="B109" s="11" t="s">
        <v>173</v>
      </c>
      <c r="C109" s="11" t="s">
        <v>168</v>
      </c>
      <c r="D109" s="11" t="s">
        <v>172</v>
      </c>
      <c r="E109" s="11" t="s">
        <v>24</v>
      </c>
      <c r="F109" s="11">
        <v>10.85</v>
      </c>
      <c r="G109" s="13">
        <v>21.8</v>
      </c>
      <c r="H109" s="14">
        <f t="shared" ref="H109:H115" si="73">1+(F109-8)/8</f>
        <v>1.35625</v>
      </c>
      <c r="I109" s="17">
        <f t="shared" ref="I109:I115" si="74">1+(G109-70)/7/10</f>
        <v>0.311428571428571</v>
      </c>
      <c r="J109" s="33">
        <v>1</v>
      </c>
      <c r="K109" s="17">
        <f t="shared" si="43"/>
        <v>0.422375</v>
      </c>
      <c r="L109" s="17">
        <v>0</v>
      </c>
      <c r="M109" s="11">
        <v>0.8</v>
      </c>
      <c r="N109" s="18">
        <f t="shared" si="44"/>
        <v>5</v>
      </c>
      <c r="O109" s="19">
        <f t="shared" si="45"/>
        <v>1556.87425</v>
      </c>
      <c r="P109" s="19">
        <f t="shared" si="46"/>
        <v>624</v>
      </c>
      <c r="Q109" s="19">
        <f t="shared" si="47"/>
        <v>58</v>
      </c>
      <c r="R109" s="19">
        <f t="shared" si="48"/>
        <v>0</v>
      </c>
      <c r="S109" s="19">
        <f t="shared" si="49"/>
        <v>118.265</v>
      </c>
      <c r="T109" s="19">
        <f t="shared" si="50"/>
        <v>250</v>
      </c>
      <c r="U109" s="19">
        <f t="shared" si="51"/>
        <v>117.32126625</v>
      </c>
      <c r="V109" s="19">
        <f t="shared" si="52"/>
        <v>245.2014464625</v>
      </c>
      <c r="W109" s="19">
        <f t="shared" si="53"/>
        <v>13.3634788322062</v>
      </c>
      <c r="X109" s="19">
        <f t="shared" si="54"/>
        <v>2983.02544154471</v>
      </c>
    </row>
    <row r="110" s="26" customFormat="1" customHeight="1" spans="1:24">
      <c r="A110" s="10">
        <v>106</v>
      </c>
      <c r="B110" s="11" t="s">
        <v>174</v>
      </c>
      <c r="C110" s="11" t="s">
        <v>168</v>
      </c>
      <c r="D110" s="11" t="s">
        <v>175</v>
      </c>
      <c r="E110" s="11" t="s">
        <v>24</v>
      </c>
      <c r="F110" s="11">
        <v>10</v>
      </c>
      <c r="G110" s="13">
        <v>35</v>
      </c>
      <c r="H110" s="14">
        <f t="shared" si="73"/>
        <v>1.25</v>
      </c>
      <c r="I110" s="17">
        <f t="shared" si="74"/>
        <v>0.5</v>
      </c>
      <c r="J110" s="33">
        <v>1</v>
      </c>
      <c r="K110" s="17">
        <f t="shared" si="43"/>
        <v>0.625</v>
      </c>
      <c r="L110" s="17">
        <v>0</v>
      </c>
      <c r="M110" s="11">
        <v>0.8</v>
      </c>
      <c r="N110" s="18">
        <f t="shared" si="44"/>
        <v>5</v>
      </c>
      <c r="O110" s="19">
        <f t="shared" si="45"/>
        <v>2303.75</v>
      </c>
      <c r="P110" s="19">
        <f t="shared" si="46"/>
        <v>624</v>
      </c>
      <c r="Q110" s="19">
        <f t="shared" si="47"/>
        <v>58</v>
      </c>
      <c r="R110" s="19">
        <f t="shared" si="48"/>
        <v>0</v>
      </c>
      <c r="S110" s="19">
        <f t="shared" si="49"/>
        <v>175</v>
      </c>
      <c r="T110" s="19">
        <f t="shared" si="50"/>
        <v>250</v>
      </c>
      <c r="U110" s="19">
        <f t="shared" si="51"/>
        <v>153.48375</v>
      </c>
      <c r="V110" s="19">
        <f t="shared" si="52"/>
        <v>320.7810375</v>
      </c>
      <c r="W110" s="19">
        <f t="shared" si="53"/>
        <v>17.48256654375</v>
      </c>
      <c r="X110" s="19">
        <f t="shared" si="54"/>
        <v>3902.49735404375</v>
      </c>
    </row>
    <row r="111" s="26" customFormat="1" customHeight="1" spans="1:24">
      <c r="A111" s="10">
        <v>107</v>
      </c>
      <c r="B111" s="11" t="s">
        <v>176</v>
      </c>
      <c r="C111" s="11" t="s">
        <v>177</v>
      </c>
      <c r="D111" s="11" t="s">
        <v>178</v>
      </c>
      <c r="E111" s="11" t="s">
        <v>24</v>
      </c>
      <c r="F111" s="11">
        <v>22.56</v>
      </c>
      <c r="G111" s="13">
        <v>53</v>
      </c>
      <c r="H111" s="14">
        <f>1+(F111-10)/10</f>
        <v>2.256</v>
      </c>
      <c r="I111" s="17">
        <f>1+(G111-90)/9/10</f>
        <v>0.588888888888889</v>
      </c>
      <c r="J111" s="33">
        <v>1</v>
      </c>
      <c r="K111" s="17">
        <f t="shared" si="43"/>
        <v>1.32853333333333</v>
      </c>
      <c r="L111" s="17">
        <f>SQRT(22.56*22.56+45.12*45.12)*53/2</f>
        <v>1336.81087966847</v>
      </c>
      <c r="M111" s="11">
        <v>2.9</v>
      </c>
      <c r="N111" s="18">
        <f t="shared" si="44"/>
        <v>4</v>
      </c>
      <c r="O111" s="19">
        <f t="shared" si="45"/>
        <v>6202.92213333333</v>
      </c>
      <c r="P111" s="19">
        <f t="shared" si="46"/>
        <v>944</v>
      </c>
      <c r="Q111" s="19">
        <f t="shared" si="47"/>
        <v>115</v>
      </c>
      <c r="R111" s="19">
        <f t="shared" si="48"/>
        <v>4559.48760350286</v>
      </c>
      <c r="S111" s="19">
        <f t="shared" si="49"/>
        <v>597.84</v>
      </c>
      <c r="T111" s="19">
        <f t="shared" si="50"/>
        <v>250</v>
      </c>
      <c r="U111" s="19">
        <f t="shared" si="51"/>
        <v>570.116238157629</v>
      </c>
      <c r="V111" s="19">
        <f t="shared" si="52"/>
        <v>1191.54293774944</v>
      </c>
      <c r="W111" s="19">
        <f t="shared" si="53"/>
        <v>64.9390901073447</v>
      </c>
      <c r="X111" s="19">
        <f t="shared" si="54"/>
        <v>14495.8480028506</v>
      </c>
    </row>
    <row r="112" s="26" customFormat="1" customHeight="1" spans="1:24">
      <c r="A112" s="10">
        <v>108</v>
      </c>
      <c r="B112" s="11" t="s">
        <v>179</v>
      </c>
      <c r="C112" s="11" t="s">
        <v>177</v>
      </c>
      <c r="D112" s="11" t="s">
        <v>180</v>
      </c>
      <c r="E112" s="11" t="s">
        <v>24</v>
      </c>
      <c r="F112" s="11">
        <v>8.5</v>
      </c>
      <c r="G112" s="13">
        <v>42</v>
      </c>
      <c r="H112" s="14">
        <f t="shared" ref="H112:H116" si="75">1+(F112-9)/9</f>
        <v>0.944444444444444</v>
      </c>
      <c r="I112" s="17">
        <f t="shared" ref="I112:I116" si="76">1+(G112-80)/8/10</f>
        <v>0.525</v>
      </c>
      <c r="J112" s="33">
        <v>1</v>
      </c>
      <c r="K112" s="17">
        <f t="shared" si="43"/>
        <v>0.495833333333333</v>
      </c>
      <c r="L112" s="17">
        <f>SQRT(8.5*8.5+14.88*14.88)*42/2</f>
        <v>359.869421318344</v>
      </c>
      <c r="M112" s="11">
        <v>1.1</v>
      </c>
      <c r="N112" s="18">
        <f t="shared" si="44"/>
        <v>4</v>
      </c>
      <c r="O112" s="19">
        <f t="shared" si="45"/>
        <v>2315.04583333333</v>
      </c>
      <c r="P112" s="19">
        <f t="shared" si="46"/>
        <v>944</v>
      </c>
      <c r="Q112" s="19">
        <f t="shared" si="47"/>
        <v>115</v>
      </c>
      <c r="R112" s="19">
        <f t="shared" si="48"/>
        <v>1227.4138326789</v>
      </c>
      <c r="S112" s="19">
        <f t="shared" si="49"/>
        <v>178.5</v>
      </c>
      <c r="T112" s="19">
        <f t="shared" si="50"/>
        <v>250</v>
      </c>
      <c r="U112" s="19">
        <f t="shared" si="51"/>
        <v>226.348184970551</v>
      </c>
      <c r="V112" s="19">
        <f t="shared" si="52"/>
        <v>473.067706588451</v>
      </c>
      <c r="W112" s="19">
        <f t="shared" si="53"/>
        <v>25.7821900090706</v>
      </c>
      <c r="X112" s="19">
        <f t="shared" si="54"/>
        <v>5755.15774758031</v>
      </c>
    </row>
    <row r="113" s="26" customFormat="1" customHeight="1" spans="1:24">
      <c r="A113" s="10">
        <v>109</v>
      </c>
      <c r="B113" s="11" t="s">
        <v>181</v>
      </c>
      <c r="C113" s="11" t="s">
        <v>177</v>
      </c>
      <c r="D113" s="11" t="s">
        <v>180</v>
      </c>
      <c r="E113" s="11" t="s">
        <v>24</v>
      </c>
      <c r="F113" s="11">
        <v>9.35</v>
      </c>
      <c r="G113" s="13">
        <v>36</v>
      </c>
      <c r="H113" s="14">
        <f t="shared" si="75"/>
        <v>1.03888888888889</v>
      </c>
      <c r="I113" s="17">
        <f t="shared" si="76"/>
        <v>0.45</v>
      </c>
      <c r="J113" s="33">
        <v>1</v>
      </c>
      <c r="K113" s="17">
        <f t="shared" si="43"/>
        <v>0.4675</v>
      </c>
      <c r="L113" s="17">
        <f>SQRT(9.35*9.35+18.7*18.7)*36/2</f>
        <v>376.330240613215</v>
      </c>
      <c r="M113" s="11">
        <v>2.2</v>
      </c>
      <c r="N113" s="18">
        <f t="shared" si="44"/>
        <v>4</v>
      </c>
      <c r="O113" s="19">
        <f t="shared" si="45"/>
        <v>2182.7575</v>
      </c>
      <c r="P113" s="19">
        <f t="shared" si="46"/>
        <v>944</v>
      </c>
      <c r="Q113" s="19">
        <f t="shared" si="47"/>
        <v>115</v>
      </c>
      <c r="R113" s="19">
        <f t="shared" si="48"/>
        <v>1283.5570782643</v>
      </c>
      <c r="S113" s="19">
        <f t="shared" si="49"/>
        <v>168.3</v>
      </c>
      <c r="T113" s="19">
        <f t="shared" si="50"/>
        <v>250</v>
      </c>
      <c r="U113" s="19">
        <f t="shared" si="51"/>
        <v>222.462656021894</v>
      </c>
      <c r="V113" s="19">
        <f t="shared" si="52"/>
        <v>464.946951085758</v>
      </c>
      <c r="W113" s="19">
        <f t="shared" si="53"/>
        <v>25.3396088341738</v>
      </c>
      <c r="X113" s="19">
        <f t="shared" si="54"/>
        <v>5656.36379420613</v>
      </c>
    </row>
    <row r="114" s="26" customFormat="1" customHeight="1" spans="1:24">
      <c r="A114" s="10">
        <v>110</v>
      </c>
      <c r="B114" s="11" t="s">
        <v>182</v>
      </c>
      <c r="C114" s="11" t="s">
        <v>177</v>
      </c>
      <c r="D114" s="11" t="s">
        <v>183</v>
      </c>
      <c r="E114" s="11" t="s">
        <v>24</v>
      </c>
      <c r="F114" s="11">
        <v>6.2</v>
      </c>
      <c r="G114" s="13">
        <v>22.91</v>
      </c>
      <c r="H114" s="14">
        <f t="shared" si="73"/>
        <v>0.775</v>
      </c>
      <c r="I114" s="17">
        <f t="shared" si="74"/>
        <v>0.327285714285714</v>
      </c>
      <c r="J114" s="33">
        <v>1</v>
      </c>
      <c r="K114" s="17">
        <f t="shared" si="43"/>
        <v>0.253646428571428</v>
      </c>
      <c r="L114" s="17">
        <f>SQRT(6.2*6.2+10.85*10.85)*22.91/2</f>
        <v>143.147401885478</v>
      </c>
      <c r="M114" s="11">
        <v>0.8</v>
      </c>
      <c r="N114" s="18">
        <f t="shared" si="44"/>
        <v>5</v>
      </c>
      <c r="O114" s="19">
        <f t="shared" si="45"/>
        <v>934.940735714285</v>
      </c>
      <c r="P114" s="19">
        <f t="shared" si="46"/>
        <v>624</v>
      </c>
      <c r="Q114" s="19">
        <f t="shared" si="47"/>
        <v>58</v>
      </c>
      <c r="R114" s="19">
        <f t="shared" si="48"/>
        <v>488.235706558837</v>
      </c>
      <c r="S114" s="19">
        <f t="shared" si="49"/>
        <v>71.021</v>
      </c>
      <c r="T114" s="19">
        <f t="shared" si="50"/>
        <v>250</v>
      </c>
      <c r="U114" s="19">
        <f t="shared" si="51"/>
        <v>109.178884902291</v>
      </c>
      <c r="V114" s="19">
        <f t="shared" si="52"/>
        <v>228.183869445787</v>
      </c>
      <c r="W114" s="19">
        <f t="shared" si="53"/>
        <v>12.4360208847954</v>
      </c>
      <c r="X114" s="19">
        <f t="shared" si="54"/>
        <v>2775.99621750599</v>
      </c>
    </row>
    <row r="115" s="26" customFormat="1" customHeight="1" spans="1:24">
      <c r="A115" s="10">
        <v>111</v>
      </c>
      <c r="B115" s="11" t="s">
        <v>184</v>
      </c>
      <c r="C115" s="11" t="s">
        <v>177</v>
      </c>
      <c r="D115" s="11" t="s">
        <v>178</v>
      </c>
      <c r="E115" s="11" t="s">
        <v>24</v>
      </c>
      <c r="F115" s="11">
        <v>8.8</v>
      </c>
      <c r="G115" s="13">
        <v>24.5</v>
      </c>
      <c r="H115" s="14">
        <f t="shared" si="73"/>
        <v>1.1</v>
      </c>
      <c r="I115" s="17">
        <f t="shared" si="74"/>
        <v>0.35</v>
      </c>
      <c r="J115" s="33">
        <v>1</v>
      </c>
      <c r="K115" s="17">
        <f t="shared" si="43"/>
        <v>0.385</v>
      </c>
      <c r="L115" s="17">
        <f>SQRT(8.8*8.8+15.4*15.4)*24.5/2</f>
        <v>217.277846316646</v>
      </c>
      <c r="M115" s="11">
        <v>0.8</v>
      </c>
      <c r="N115" s="18">
        <f t="shared" si="44"/>
        <v>5</v>
      </c>
      <c r="O115" s="19">
        <f t="shared" si="45"/>
        <v>1419.11</v>
      </c>
      <c r="P115" s="19">
        <f t="shared" si="46"/>
        <v>624</v>
      </c>
      <c r="Q115" s="19">
        <f t="shared" si="47"/>
        <v>58</v>
      </c>
      <c r="R115" s="19">
        <f t="shared" si="48"/>
        <v>741.073895989111</v>
      </c>
      <c r="S115" s="19">
        <f t="shared" si="49"/>
        <v>107.8</v>
      </c>
      <c r="T115" s="19">
        <f t="shared" si="50"/>
        <v>250</v>
      </c>
      <c r="U115" s="19">
        <f t="shared" si="51"/>
        <v>143.99927531951</v>
      </c>
      <c r="V115" s="19">
        <f t="shared" si="52"/>
        <v>300.958485417776</v>
      </c>
      <c r="W115" s="19">
        <f t="shared" si="53"/>
        <v>16.4022374552688</v>
      </c>
      <c r="X115" s="19">
        <f t="shared" si="54"/>
        <v>3661.34389418167</v>
      </c>
    </row>
    <row r="116" s="26" customFormat="1" customHeight="1" spans="1:24">
      <c r="A116" s="10">
        <v>112</v>
      </c>
      <c r="B116" s="11" t="s">
        <v>185</v>
      </c>
      <c r="C116" s="11" t="s">
        <v>177</v>
      </c>
      <c r="D116" s="11" t="s">
        <v>178</v>
      </c>
      <c r="E116" s="11" t="s">
        <v>24</v>
      </c>
      <c r="F116" s="11">
        <v>7</v>
      </c>
      <c r="G116" s="13">
        <v>56</v>
      </c>
      <c r="H116" s="14">
        <f t="shared" si="75"/>
        <v>0.777777777777778</v>
      </c>
      <c r="I116" s="17">
        <f t="shared" si="76"/>
        <v>0.7</v>
      </c>
      <c r="J116" s="33">
        <v>1</v>
      </c>
      <c r="K116" s="17">
        <f t="shared" si="43"/>
        <v>0.544444444444444</v>
      </c>
      <c r="L116" s="17">
        <f>SQRT(7*7+14*14)*56/2</f>
        <v>438.269323589959</v>
      </c>
      <c r="M116" s="11">
        <v>1.1</v>
      </c>
      <c r="N116" s="18">
        <f t="shared" si="44"/>
        <v>4</v>
      </c>
      <c r="O116" s="19">
        <f t="shared" si="45"/>
        <v>2542.01111111111</v>
      </c>
      <c r="P116" s="19">
        <f t="shared" si="46"/>
        <v>944</v>
      </c>
      <c r="Q116" s="19">
        <f t="shared" si="47"/>
        <v>115</v>
      </c>
      <c r="R116" s="19">
        <f t="shared" si="48"/>
        <v>1494.81394735474</v>
      </c>
      <c r="S116" s="19">
        <f t="shared" si="49"/>
        <v>196</v>
      </c>
      <c r="T116" s="19">
        <f t="shared" si="50"/>
        <v>250</v>
      </c>
      <c r="U116" s="19">
        <f t="shared" si="51"/>
        <v>249.382127630963</v>
      </c>
      <c r="V116" s="19">
        <f t="shared" si="52"/>
        <v>521.208646748714</v>
      </c>
      <c r="W116" s="19">
        <f t="shared" si="53"/>
        <v>28.4058712478049</v>
      </c>
      <c r="X116" s="19">
        <f t="shared" si="54"/>
        <v>6340.82170409334</v>
      </c>
    </row>
    <row r="117" s="26" customFormat="1" customHeight="1" spans="1:24">
      <c r="A117" s="10">
        <v>113</v>
      </c>
      <c r="B117" s="11" t="s">
        <v>186</v>
      </c>
      <c r="C117" s="11" t="s">
        <v>177</v>
      </c>
      <c r="D117" s="11" t="s">
        <v>178</v>
      </c>
      <c r="E117" s="11" t="s">
        <v>24</v>
      </c>
      <c r="F117" s="11">
        <v>6.4</v>
      </c>
      <c r="G117" s="13">
        <v>26</v>
      </c>
      <c r="H117" s="14">
        <f>1+(F117-8)/8</f>
        <v>0.8</v>
      </c>
      <c r="I117" s="17">
        <f>1+(G117-70)/7/10</f>
        <v>0.371428571428571</v>
      </c>
      <c r="J117" s="33">
        <v>1</v>
      </c>
      <c r="K117" s="17">
        <f t="shared" si="43"/>
        <v>0.297142857142857</v>
      </c>
      <c r="L117" s="17">
        <f>SQRT(6.4*6.4+11.2*11.2)*26/2</f>
        <v>167.69496116461</v>
      </c>
      <c r="M117" s="11">
        <v>0.8</v>
      </c>
      <c r="N117" s="18">
        <f t="shared" si="44"/>
        <v>5</v>
      </c>
      <c r="O117" s="19">
        <f t="shared" si="45"/>
        <v>1095.26857142857</v>
      </c>
      <c r="P117" s="19">
        <f t="shared" si="46"/>
        <v>624</v>
      </c>
      <c r="Q117" s="19">
        <f t="shared" si="47"/>
        <v>58</v>
      </c>
      <c r="R117" s="19">
        <f t="shared" si="48"/>
        <v>571.960557943358</v>
      </c>
      <c r="S117" s="19">
        <f t="shared" si="49"/>
        <v>83.2</v>
      </c>
      <c r="T117" s="19">
        <f t="shared" si="50"/>
        <v>250</v>
      </c>
      <c r="U117" s="19">
        <f t="shared" si="51"/>
        <v>120.709310821737</v>
      </c>
      <c r="V117" s="19">
        <f t="shared" si="52"/>
        <v>252.28245961743</v>
      </c>
      <c r="W117" s="19">
        <f t="shared" si="53"/>
        <v>13.7493940491499</v>
      </c>
      <c r="X117" s="19">
        <f t="shared" si="54"/>
        <v>3069.17029386025</v>
      </c>
    </row>
    <row r="118" s="26" customFormat="1" customHeight="1" spans="1:24">
      <c r="A118" s="10">
        <v>114</v>
      </c>
      <c r="B118" s="11" t="s">
        <v>187</v>
      </c>
      <c r="C118" s="11" t="s">
        <v>177</v>
      </c>
      <c r="D118" s="11" t="s">
        <v>188</v>
      </c>
      <c r="E118" s="11" t="s">
        <v>24</v>
      </c>
      <c r="F118" s="11">
        <v>10.6</v>
      </c>
      <c r="G118" s="13">
        <v>51</v>
      </c>
      <c r="H118" s="14">
        <f t="shared" ref="H118:H121" si="77">1+(F118-9)/9</f>
        <v>1.17777777777778</v>
      </c>
      <c r="I118" s="17">
        <f t="shared" ref="I118:I121" si="78">1+(G118-80)/8/10</f>
        <v>0.6375</v>
      </c>
      <c r="J118" s="33">
        <v>1</v>
      </c>
      <c r="K118" s="17">
        <f t="shared" si="43"/>
        <v>0.750833333333333</v>
      </c>
      <c r="L118" s="17">
        <f>SQRT(10.6*10.6+21.2*21.2)*51/2</f>
        <v>604.409174318193</v>
      </c>
      <c r="M118" s="11">
        <v>1.2</v>
      </c>
      <c r="N118" s="18">
        <f t="shared" si="44"/>
        <v>4</v>
      </c>
      <c r="O118" s="19">
        <f t="shared" si="45"/>
        <v>3505.64083333333</v>
      </c>
      <c r="P118" s="19">
        <f t="shared" si="46"/>
        <v>944</v>
      </c>
      <c r="Q118" s="19">
        <f t="shared" si="47"/>
        <v>115</v>
      </c>
      <c r="R118" s="19">
        <f t="shared" si="48"/>
        <v>2061.47045903055</v>
      </c>
      <c r="S118" s="19">
        <f t="shared" si="49"/>
        <v>270.3</v>
      </c>
      <c r="T118" s="19">
        <f t="shared" si="50"/>
        <v>250</v>
      </c>
      <c r="U118" s="19">
        <f t="shared" si="51"/>
        <v>321.588508156375</v>
      </c>
      <c r="V118" s="19">
        <f t="shared" si="52"/>
        <v>672.119982046823</v>
      </c>
      <c r="W118" s="19">
        <f t="shared" si="53"/>
        <v>36.6305390215519</v>
      </c>
      <c r="X118" s="19">
        <f t="shared" si="54"/>
        <v>8176.75032158863</v>
      </c>
    </row>
    <row r="119" s="26" customFormat="1" customHeight="1" spans="1:24">
      <c r="A119" s="10">
        <v>115</v>
      </c>
      <c r="B119" s="11" t="s">
        <v>189</v>
      </c>
      <c r="C119" s="11" t="s">
        <v>177</v>
      </c>
      <c r="D119" s="11" t="s">
        <v>190</v>
      </c>
      <c r="E119" s="11" t="s">
        <v>24</v>
      </c>
      <c r="F119" s="11">
        <v>9.65</v>
      </c>
      <c r="G119" s="13">
        <v>25.5</v>
      </c>
      <c r="H119" s="14">
        <f t="shared" si="77"/>
        <v>1.07222222222222</v>
      </c>
      <c r="I119" s="17">
        <f t="shared" si="78"/>
        <v>0.31875</v>
      </c>
      <c r="J119" s="33">
        <v>1</v>
      </c>
      <c r="K119" s="17">
        <f t="shared" si="43"/>
        <v>0.341770833333333</v>
      </c>
      <c r="L119" s="17">
        <f>SQRT(9.65*9.65+19.3*19.3)*25.5/2</f>
        <v>275.12021378163</v>
      </c>
      <c r="M119" s="11">
        <v>1.6</v>
      </c>
      <c r="N119" s="18">
        <f t="shared" si="44"/>
        <v>4</v>
      </c>
      <c r="O119" s="19">
        <f t="shared" si="45"/>
        <v>1595.72802083333</v>
      </c>
      <c r="P119" s="19">
        <f t="shared" si="46"/>
        <v>944</v>
      </c>
      <c r="Q119" s="19">
        <f t="shared" si="47"/>
        <v>115</v>
      </c>
      <c r="R119" s="19">
        <f t="shared" si="48"/>
        <v>938.358015549283</v>
      </c>
      <c r="S119" s="19">
        <f t="shared" si="49"/>
        <v>123.0375</v>
      </c>
      <c r="T119" s="19">
        <f t="shared" si="50"/>
        <v>250</v>
      </c>
      <c r="U119" s="19">
        <f t="shared" si="51"/>
        <v>178.475559137218</v>
      </c>
      <c r="V119" s="19">
        <f t="shared" si="52"/>
        <v>373.013918596785</v>
      </c>
      <c r="W119" s="19">
        <f t="shared" si="53"/>
        <v>20.3292585635248</v>
      </c>
      <c r="X119" s="19">
        <f t="shared" si="54"/>
        <v>4537.94227268014</v>
      </c>
    </row>
    <row r="120" s="26" customFormat="1" customHeight="1" spans="1:24">
      <c r="A120" s="10">
        <v>116</v>
      </c>
      <c r="B120" s="11" t="s">
        <v>191</v>
      </c>
      <c r="C120" s="11" t="s">
        <v>177</v>
      </c>
      <c r="D120" s="11" t="s">
        <v>190</v>
      </c>
      <c r="E120" s="11" t="s">
        <v>24</v>
      </c>
      <c r="F120" s="11">
        <v>6.3</v>
      </c>
      <c r="G120" s="13">
        <v>47.7</v>
      </c>
      <c r="H120" s="14">
        <f t="shared" si="77"/>
        <v>0.7</v>
      </c>
      <c r="I120" s="17">
        <f t="shared" si="78"/>
        <v>0.59625</v>
      </c>
      <c r="J120" s="33">
        <v>1</v>
      </c>
      <c r="K120" s="17">
        <f t="shared" si="43"/>
        <v>0.417375</v>
      </c>
      <c r="L120" s="17">
        <f>SQRT(6.3*6.3+11.03*11.03)*47.7/2</f>
        <v>302.952178264574</v>
      </c>
      <c r="M120" s="11">
        <v>1</v>
      </c>
      <c r="N120" s="18">
        <f t="shared" si="44"/>
        <v>5</v>
      </c>
      <c r="O120" s="19">
        <f t="shared" si="45"/>
        <v>1538.44425</v>
      </c>
      <c r="P120" s="19">
        <f t="shared" si="46"/>
        <v>624</v>
      </c>
      <c r="Q120" s="19">
        <f t="shared" si="47"/>
        <v>58</v>
      </c>
      <c r="R120" s="19">
        <f t="shared" si="48"/>
        <v>1033.28505345055</v>
      </c>
      <c r="S120" s="19">
        <f t="shared" si="49"/>
        <v>150.255</v>
      </c>
      <c r="T120" s="19">
        <f t="shared" si="50"/>
        <v>250</v>
      </c>
      <c r="U120" s="19">
        <f t="shared" si="51"/>
        <v>164.429293655275</v>
      </c>
      <c r="V120" s="19">
        <f t="shared" si="52"/>
        <v>343.657223739524</v>
      </c>
      <c r="W120" s="19">
        <f t="shared" si="53"/>
        <v>18.7293186938041</v>
      </c>
      <c r="X120" s="19">
        <f t="shared" si="54"/>
        <v>4180.80013953915</v>
      </c>
    </row>
    <row r="121" s="26" customFormat="1" customHeight="1" spans="1:24">
      <c r="A121" s="10">
        <v>117</v>
      </c>
      <c r="B121" s="11" t="s">
        <v>192</v>
      </c>
      <c r="C121" s="11" t="s">
        <v>177</v>
      </c>
      <c r="D121" s="11" t="s">
        <v>190</v>
      </c>
      <c r="E121" s="11" t="s">
        <v>24</v>
      </c>
      <c r="F121" s="11">
        <v>5.4</v>
      </c>
      <c r="G121" s="13">
        <v>20</v>
      </c>
      <c r="H121" s="14">
        <f t="shared" si="77"/>
        <v>0.6</v>
      </c>
      <c r="I121" s="17">
        <f t="shared" si="78"/>
        <v>0.25</v>
      </c>
      <c r="J121" s="33">
        <v>1</v>
      </c>
      <c r="K121" s="17">
        <f t="shared" si="43"/>
        <v>0.15</v>
      </c>
      <c r="L121" s="17">
        <f>SQRT(5.4*5.4+9.45*9.45)*20/2</f>
        <v>108.84047960203</v>
      </c>
      <c r="M121" s="11">
        <v>0.8</v>
      </c>
      <c r="N121" s="18">
        <f t="shared" si="44"/>
        <v>5</v>
      </c>
      <c r="O121" s="19">
        <f t="shared" si="45"/>
        <v>552.9</v>
      </c>
      <c r="P121" s="19">
        <f t="shared" si="46"/>
        <v>624</v>
      </c>
      <c r="Q121" s="19">
        <f t="shared" si="47"/>
        <v>58</v>
      </c>
      <c r="R121" s="19">
        <f t="shared" si="48"/>
        <v>371.224400588237</v>
      </c>
      <c r="S121" s="19">
        <f t="shared" si="49"/>
        <v>54</v>
      </c>
      <c r="T121" s="19">
        <f t="shared" si="50"/>
        <v>250</v>
      </c>
      <c r="U121" s="19">
        <f t="shared" si="51"/>
        <v>85.9555980264707</v>
      </c>
      <c r="V121" s="19">
        <f t="shared" si="52"/>
        <v>179.647199875324</v>
      </c>
      <c r="W121" s="19">
        <f t="shared" si="53"/>
        <v>9.79077239320514</v>
      </c>
      <c r="X121" s="19">
        <f t="shared" si="54"/>
        <v>2185.51797088324</v>
      </c>
    </row>
    <row r="122" s="26" customFormat="1" customHeight="1" spans="1:24">
      <c r="A122" s="10">
        <v>118</v>
      </c>
      <c r="B122" s="11" t="s">
        <v>193</v>
      </c>
      <c r="C122" s="11" t="s">
        <v>177</v>
      </c>
      <c r="D122" s="11" t="s">
        <v>188</v>
      </c>
      <c r="E122" s="11" t="s">
        <v>24</v>
      </c>
      <c r="F122" s="11">
        <v>9.3</v>
      </c>
      <c r="G122" s="13">
        <v>28.6</v>
      </c>
      <c r="H122" s="14">
        <f>1+(F122-8)/8</f>
        <v>1.1625</v>
      </c>
      <c r="I122" s="17">
        <f>1+(G122-70)/7/10</f>
        <v>0.408571428571429</v>
      </c>
      <c r="J122" s="33">
        <v>1</v>
      </c>
      <c r="K122" s="17">
        <f t="shared" si="43"/>
        <v>0.474964285714286</v>
      </c>
      <c r="L122" s="17">
        <v>0</v>
      </c>
      <c r="M122" s="11">
        <v>0.8</v>
      </c>
      <c r="N122" s="18">
        <f t="shared" si="44"/>
        <v>5</v>
      </c>
      <c r="O122" s="19">
        <f t="shared" si="45"/>
        <v>1750.71835714286</v>
      </c>
      <c r="P122" s="19">
        <f t="shared" si="46"/>
        <v>624</v>
      </c>
      <c r="Q122" s="19">
        <f t="shared" si="47"/>
        <v>58</v>
      </c>
      <c r="R122" s="19">
        <f t="shared" si="48"/>
        <v>0</v>
      </c>
      <c r="S122" s="19">
        <f t="shared" si="49"/>
        <v>132.99</v>
      </c>
      <c r="T122" s="19">
        <f t="shared" si="50"/>
        <v>250</v>
      </c>
      <c r="U122" s="19">
        <f t="shared" si="51"/>
        <v>126.706876071429</v>
      </c>
      <c r="V122" s="19">
        <f t="shared" si="52"/>
        <v>264.817370989286</v>
      </c>
      <c r="W122" s="19">
        <f t="shared" si="53"/>
        <v>14.4325467189161</v>
      </c>
      <c r="X122" s="19">
        <f t="shared" si="54"/>
        <v>3221.66515092249</v>
      </c>
    </row>
    <row r="123" s="26" customFormat="1" customHeight="1" spans="1:24">
      <c r="A123" s="10">
        <v>119</v>
      </c>
      <c r="B123" s="11" t="s">
        <v>194</v>
      </c>
      <c r="C123" s="11" t="s">
        <v>177</v>
      </c>
      <c r="D123" s="11" t="s">
        <v>195</v>
      </c>
      <c r="E123" s="11" t="s">
        <v>24</v>
      </c>
      <c r="F123" s="11">
        <v>10.1</v>
      </c>
      <c r="G123" s="13">
        <v>58.6</v>
      </c>
      <c r="H123" s="14">
        <f t="shared" ref="H123:H128" si="79">1+(F123-9)/9</f>
        <v>1.12222222222222</v>
      </c>
      <c r="I123" s="17">
        <f t="shared" ref="I123:I128" si="80">1+(G123-80)/8/10</f>
        <v>0.7325</v>
      </c>
      <c r="J123" s="33">
        <v>1</v>
      </c>
      <c r="K123" s="17">
        <f t="shared" si="43"/>
        <v>0.822027777777778</v>
      </c>
      <c r="L123" s="17">
        <f>SQRT(10.1*10.1+17.68*17.68)*58.6/2</f>
        <v>596.593185911472</v>
      </c>
      <c r="M123" s="11">
        <v>1.3</v>
      </c>
      <c r="N123" s="18">
        <f t="shared" si="44"/>
        <v>4</v>
      </c>
      <c r="O123" s="19">
        <f t="shared" si="45"/>
        <v>3838.04769444444</v>
      </c>
      <c r="P123" s="19">
        <f t="shared" si="46"/>
        <v>944</v>
      </c>
      <c r="Q123" s="19">
        <f t="shared" si="47"/>
        <v>115</v>
      </c>
      <c r="R123" s="19">
        <f t="shared" si="48"/>
        <v>2034.81231105198</v>
      </c>
      <c r="S123" s="19">
        <f t="shared" si="49"/>
        <v>295.93</v>
      </c>
      <c r="T123" s="19">
        <f t="shared" si="50"/>
        <v>250</v>
      </c>
      <c r="U123" s="19">
        <f t="shared" si="51"/>
        <v>336.500550247339</v>
      </c>
      <c r="V123" s="19">
        <f t="shared" si="52"/>
        <v>703.286150016938</v>
      </c>
      <c r="W123" s="19">
        <f t="shared" si="53"/>
        <v>38.3290951759231</v>
      </c>
      <c r="X123" s="19">
        <f t="shared" si="54"/>
        <v>8555.90580093662</v>
      </c>
    </row>
    <row r="124" s="26" customFormat="1" customHeight="1" spans="1:24">
      <c r="A124" s="10">
        <v>120</v>
      </c>
      <c r="B124" s="11" t="s">
        <v>196</v>
      </c>
      <c r="C124" s="11" t="s">
        <v>177</v>
      </c>
      <c r="D124" s="11" t="s">
        <v>188</v>
      </c>
      <c r="E124" s="11" t="s">
        <v>24</v>
      </c>
      <c r="F124" s="11">
        <v>10.15</v>
      </c>
      <c r="G124" s="13">
        <v>41</v>
      </c>
      <c r="H124" s="14">
        <f t="shared" si="79"/>
        <v>1.12777777777778</v>
      </c>
      <c r="I124" s="17">
        <f t="shared" si="80"/>
        <v>0.5125</v>
      </c>
      <c r="J124" s="33">
        <v>1</v>
      </c>
      <c r="K124" s="17">
        <f t="shared" si="43"/>
        <v>0.577986111111111</v>
      </c>
      <c r="L124" s="17">
        <f>SQRT(10.15*10.15+17.76*17.76)*41/2</f>
        <v>419.344073554164</v>
      </c>
      <c r="M124" s="11">
        <v>1</v>
      </c>
      <c r="N124" s="18">
        <f t="shared" si="44"/>
        <v>5</v>
      </c>
      <c r="O124" s="19">
        <f t="shared" si="45"/>
        <v>2130.45680555556</v>
      </c>
      <c r="P124" s="19">
        <f t="shared" si="46"/>
        <v>624</v>
      </c>
      <c r="Q124" s="19">
        <f t="shared" si="47"/>
        <v>58</v>
      </c>
      <c r="R124" s="19">
        <f t="shared" si="48"/>
        <v>1430.26521855266</v>
      </c>
      <c r="S124" s="19">
        <f t="shared" si="49"/>
        <v>208.075</v>
      </c>
      <c r="T124" s="19">
        <f t="shared" si="50"/>
        <v>250</v>
      </c>
      <c r="U124" s="19">
        <f t="shared" si="51"/>
        <v>211.53586608487</v>
      </c>
      <c r="V124" s="19">
        <f t="shared" si="52"/>
        <v>442.109960117377</v>
      </c>
      <c r="W124" s="19">
        <f t="shared" si="53"/>
        <v>24.0949928263971</v>
      </c>
      <c r="X124" s="19">
        <f t="shared" si="54"/>
        <v>5378.53784313686</v>
      </c>
    </row>
    <row r="125" s="26" customFormat="1" customHeight="1" spans="1:24">
      <c r="A125" s="10">
        <v>121</v>
      </c>
      <c r="B125" s="11" t="s">
        <v>197</v>
      </c>
      <c r="C125" s="11" t="s">
        <v>177</v>
      </c>
      <c r="D125" s="11" t="s">
        <v>183</v>
      </c>
      <c r="E125" s="11" t="s">
        <v>24</v>
      </c>
      <c r="F125" s="11">
        <v>8.3</v>
      </c>
      <c r="G125" s="13">
        <v>75</v>
      </c>
      <c r="H125" s="14">
        <f t="shared" ref="H125:H127" si="81">1+(F125-10)/10</f>
        <v>0.83</v>
      </c>
      <c r="I125" s="17">
        <f t="shared" ref="I125:I127" si="82">1+(G125-90)/9/10</f>
        <v>0.833333333333333</v>
      </c>
      <c r="J125" s="33">
        <v>1</v>
      </c>
      <c r="K125" s="17">
        <f t="shared" si="43"/>
        <v>0.691666666666667</v>
      </c>
      <c r="L125" s="17">
        <f>SQRT(8.3*8.3+14.53*14.53)*75/2</f>
        <v>627.507233524045</v>
      </c>
      <c r="M125" s="11">
        <v>3</v>
      </c>
      <c r="N125" s="18">
        <f t="shared" si="44"/>
        <v>4</v>
      </c>
      <c r="O125" s="19">
        <f t="shared" si="45"/>
        <v>3229.39166666667</v>
      </c>
      <c r="P125" s="19">
        <f t="shared" si="46"/>
        <v>944</v>
      </c>
      <c r="Q125" s="19">
        <f t="shared" si="47"/>
        <v>115</v>
      </c>
      <c r="R125" s="19">
        <f t="shared" si="48"/>
        <v>2140.25147152513</v>
      </c>
      <c r="S125" s="19">
        <f t="shared" si="49"/>
        <v>311.25</v>
      </c>
      <c r="T125" s="19">
        <f t="shared" si="50"/>
        <v>250</v>
      </c>
      <c r="U125" s="19">
        <f t="shared" si="51"/>
        <v>314.545191218631</v>
      </c>
      <c r="V125" s="19">
        <f t="shared" si="52"/>
        <v>657.399449646938</v>
      </c>
      <c r="W125" s="19">
        <f t="shared" si="53"/>
        <v>35.8282700057581</v>
      </c>
      <c r="X125" s="19">
        <f t="shared" si="54"/>
        <v>7997.66604906312</v>
      </c>
    </row>
    <row r="126" s="26" customFormat="1" customHeight="1" spans="1:24">
      <c r="A126" s="10">
        <v>122</v>
      </c>
      <c r="B126" s="11" t="s">
        <v>198</v>
      </c>
      <c r="C126" s="11" t="s">
        <v>177</v>
      </c>
      <c r="D126" s="11" t="s">
        <v>183</v>
      </c>
      <c r="E126" s="11" t="s">
        <v>24</v>
      </c>
      <c r="F126" s="11">
        <v>10.4</v>
      </c>
      <c r="G126" s="13">
        <v>54.2</v>
      </c>
      <c r="H126" s="14">
        <f t="shared" si="81"/>
        <v>1.04</v>
      </c>
      <c r="I126" s="17">
        <f t="shared" si="82"/>
        <v>0.602222222222222</v>
      </c>
      <c r="J126" s="33">
        <v>1</v>
      </c>
      <c r="K126" s="17">
        <f t="shared" si="43"/>
        <v>0.626311111111111</v>
      </c>
      <c r="L126" s="17">
        <f>SQRT(10.4*10.4+18.2*18.2)*54.2/2</f>
        <v>568.066680945116</v>
      </c>
      <c r="M126" s="11">
        <v>2.8</v>
      </c>
      <c r="N126" s="18">
        <f t="shared" si="44"/>
        <v>4</v>
      </c>
      <c r="O126" s="19">
        <f t="shared" si="45"/>
        <v>2924.24657777778</v>
      </c>
      <c r="P126" s="19">
        <f t="shared" si="46"/>
        <v>944</v>
      </c>
      <c r="Q126" s="19">
        <f t="shared" si="47"/>
        <v>115</v>
      </c>
      <c r="R126" s="19">
        <f t="shared" si="48"/>
        <v>1937.51639003313</v>
      </c>
      <c r="S126" s="19">
        <f t="shared" si="49"/>
        <v>281.84</v>
      </c>
      <c r="T126" s="19">
        <f t="shared" si="50"/>
        <v>250</v>
      </c>
      <c r="U126" s="19">
        <f t="shared" si="51"/>
        <v>290.367133551491</v>
      </c>
      <c r="V126" s="19">
        <f t="shared" si="52"/>
        <v>606.867309122615</v>
      </c>
      <c r="W126" s="19">
        <f t="shared" si="53"/>
        <v>33.0742683471825</v>
      </c>
      <c r="X126" s="19">
        <f t="shared" si="54"/>
        <v>7382.91167883219</v>
      </c>
    </row>
    <row r="127" s="26" customFormat="1" customHeight="1" spans="1:24">
      <c r="A127" s="10">
        <v>123</v>
      </c>
      <c r="B127" s="11" t="s">
        <v>199</v>
      </c>
      <c r="C127" s="11" t="s">
        <v>177</v>
      </c>
      <c r="D127" s="11" t="s">
        <v>183</v>
      </c>
      <c r="E127" s="11" t="s">
        <v>24</v>
      </c>
      <c r="F127" s="11">
        <v>13.5</v>
      </c>
      <c r="G127" s="13">
        <v>30</v>
      </c>
      <c r="H127" s="14">
        <f t="shared" si="81"/>
        <v>1.35</v>
      </c>
      <c r="I127" s="17">
        <f t="shared" si="82"/>
        <v>0.333333333333333</v>
      </c>
      <c r="J127" s="33">
        <v>1</v>
      </c>
      <c r="K127" s="17">
        <f t="shared" si="43"/>
        <v>0.45</v>
      </c>
      <c r="L127" s="17">
        <f>SQRT(13.5*13.5+23.63*23.63)*30/2</f>
        <v>408.216918439204</v>
      </c>
      <c r="M127" s="11">
        <v>2.4</v>
      </c>
      <c r="N127" s="18">
        <f t="shared" si="44"/>
        <v>4</v>
      </c>
      <c r="O127" s="19">
        <f t="shared" si="45"/>
        <v>2101.05</v>
      </c>
      <c r="P127" s="19">
        <f t="shared" si="46"/>
        <v>944</v>
      </c>
      <c r="Q127" s="19">
        <f t="shared" si="47"/>
        <v>115</v>
      </c>
      <c r="R127" s="19">
        <f t="shared" si="48"/>
        <v>1392.31360805896</v>
      </c>
      <c r="S127" s="19">
        <f t="shared" si="49"/>
        <v>202.5</v>
      </c>
      <c r="T127" s="19">
        <f t="shared" si="50"/>
        <v>250</v>
      </c>
      <c r="U127" s="19">
        <f t="shared" si="51"/>
        <v>225.218862362653</v>
      </c>
      <c r="V127" s="19">
        <f t="shared" si="52"/>
        <v>470.707422337945</v>
      </c>
      <c r="W127" s="19">
        <f t="shared" si="53"/>
        <v>25.653554517418</v>
      </c>
      <c r="X127" s="19">
        <f t="shared" si="54"/>
        <v>5726.44344727698</v>
      </c>
    </row>
    <row r="128" s="26" customFormat="1" customHeight="1" spans="1:24">
      <c r="A128" s="10">
        <v>124</v>
      </c>
      <c r="B128" s="11" t="s">
        <v>200</v>
      </c>
      <c r="C128" s="11" t="s">
        <v>177</v>
      </c>
      <c r="D128" s="11" t="s">
        <v>201</v>
      </c>
      <c r="E128" s="11" t="s">
        <v>24</v>
      </c>
      <c r="F128" s="11">
        <v>6.6</v>
      </c>
      <c r="G128" s="13">
        <v>80.6</v>
      </c>
      <c r="H128" s="14">
        <f t="shared" si="79"/>
        <v>0.733333333333333</v>
      </c>
      <c r="I128" s="17">
        <f t="shared" si="80"/>
        <v>1.0075</v>
      </c>
      <c r="J128" s="33">
        <v>1</v>
      </c>
      <c r="K128" s="17">
        <f t="shared" si="43"/>
        <v>0.738833333333333</v>
      </c>
      <c r="L128" s="17">
        <f>SQRT(6.6*6.6+11.55*11.55)*80.6/2</f>
        <v>536.099828973112</v>
      </c>
      <c r="M128" s="11">
        <v>0.95</v>
      </c>
      <c r="N128" s="18">
        <f t="shared" si="44"/>
        <v>5</v>
      </c>
      <c r="O128" s="19">
        <f t="shared" si="45"/>
        <v>2723.33966666667</v>
      </c>
      <c r="P128" s="19">
        <f t="shared" si="46"/>
        <v>624</v>
      </c>
      <c r="Q128" s="19">
        <f t="shared" si="47"/>
        <v>58</v>
      </c>
      <c r="R128" s="19">
        <f t="shared" si="48"/>
        <v>1828.48640867517</v>
      </c>
      <c r="S128" s="19">
        <f t="shared" si="49"/>
        <v>265.98</v>
      </c>
      <c r="T128" s="19">
        <f t="shared" si="50"/>
        <v>250</v>
      </c>
      <c r="U128" s="19">
        <f t="shared" si="51"/>
        <v>258.741273390383</v>
      </c>
      <c r="V128" s="19">
        <f t="shared" si="52"/>
        <v>540.7692613859</v>
      </c>
      <c r="W128" s="19">
        <f t="shared" si="53"/>
        <v>29.4719247455315</v>
      </c>
      <c r="X128" s="19">
        <f t="shared" si="54"/>
        <v>6578.78853486365</v>
      </c>
    </row>
    <row r="129" s="26" customFormat="1" customHeight="1" spans="1:24">
      <c r="A129" s="10">
        <v>125</v>
      </c>
      <c r="B129" s="11" t="s">
        <v>202</v>
      </c>
      <c r="C129" s="11" t="s">
        <v>177</v>
      </c>
      <c r="D129" s="11" t="s">
        <v>178</v>
      </c>
      <c r="E129" s="11" t="s">
        <v>24</v>
      </c>
      <c r="F129" s="11">
        <v>14.9</v>
      </c>
      <c r="G129" s="13">
        <v>50.6</v>
      </c>
      <c r="H129" s="14">
        <f>1+(F129-10)/10</f>
        <v>1.49</v>
      </c>
      <c r="I129" s="17">
        <f>1+(G129-90)/9/10</f>
        <v>0.562222222222222</v>
      </c>
      <c r="J129" s="33">
        <v>1</v>
      </c>
      <c r="K129" s="17">
        <f t="shared" si="43"/>
        <v>0.837711111111111</v>
      </c>
      <c r="L129" s="17">
        <f>SQRT(14.9*14.9+29.8*29.8)*50.6/2</f>
        <v>842.930545478096</v>
      </c>
      <c r="M129" s="11">
        <v>4</v>
      </c>
      <c r="N129" s="18">
        <f t="shared" si="44"/>
        <v>3</v>
      </c>
      <c r="O129" s="19">
        <f t="shared" si="45"/>
        <v>5074.0162</v>
      </c>
      <c r="P129" s="19">
        <f t="shared" si="46"/>
        <v>1482</v>
      </c>
      <c r="Q129" s="19">
        <f t="shared" si="47"/>
        <v>173</v>
      </c>
      <c r="R129" s="19">
        <f t="shared" si="48"/>
        <v>2875.00007007305</v>
      </c>
      <c r="S129" s="19">
        <f t="shared" si="49"/>
        <v>376.97</v>
      </c>
      <c r="T129" s="19">
        <f t="shared" si="50"/>
        <v>250</v>
      </c>
      <c r="U129" s="19">
        <f t="shared" si="51"/>
        <v>460.394382153287</v>
      </c>
      <c r="V129" s="19">
        <f t="shared" si="52"/>
        <v>962.22425870037</v>
      </c>
      <c r="W129" s="19">
        <f t="shared" si="53"/>
        <v>52.4412220991702</v>
      </c>
      <c r="X129" s="19">
        <f t="shared" si="54"/>
        <v>11706.0461330259</v>
      </c>
    </row>
    <row r="130" s="26" customFormat="1" customHeight="1" spans="1:24">
      <c r="A130" s="10">
        <v>126</v>
      </c>
      <c r="B130" s="11" t="s">
        <v>203</v>
      </c>
      <c r="C130" s="11" t="s">
        <v>177</v>
      </c>
      <c r="D130" s="11" t="s">
        <v>190</v>
      </c>
      <c r="E130" s="11" t="s">
        <v>24</v>
      </c>
      <c r="F130" s="11">
        <v>7</v>
      </c>
      <c r="G130" s="13">
        <v>26.2</v>
      </c>
      <c r="H130" s="14">
        <f>1+(F130-9)/9</f>
        <v>0.777777777777778</v>
      </c>
      <c r="I130" s="17">
        <f>1+(G130-80)/8/10</f>
        <v>0.3275</v>
      </c>
      <c r="J130" s="33">
        <v>1</v>
      </c>
      <c r="K130" s="17">
        <f t="shared" si="43"/>
        <v>0.254722222222222</v>
      </c>
      <c r="L130" s="17">
        <v>0</v>
      </c>
      <c r="M130" s="11">
        <v>0.9</v>
      </c>
      <c r="N130" s="18">
        <f t="shared" si="44"/>
        <v>5</v>
      </c>
      <c r="O130" s="19">
        <f t="shared" si="45"/>
        <v>938.906111111111</v>
      </c>
      <c r="P130" s="19">
        <f t="shared" si="46"/>
        <v>624</v>
      </c>
      <c r="Q130" s="19">
        <f t="shared" si="47"/>
        <v>58</v>
      </c>
      <c r="R130" s="19">
        <f t="shared" si="48"/>
        <v>0</v>
      </c>
      <c r="S130" s="19">
        <f t="shared" si="49"/>
        <v>91.7</v>
      </c>
      <c r="T130" s="19">
        <f t="shared" si="50"/>
        <v>250</v>
      </c>
      <c r="U130" s="19">
        <f t="shared" si="51"/>
        <v>88.317275</v>
      </c>
      <c r="V130" s="19">
        <f t="shared" si="52"/>
        <v>184.58310475</v>
      </c>
      <c r="W130" s="19">
        <f t="shared" si="53"/>
        <v>10.059779208875</v>
      </c>
      <c r="X130" s="19">
        <f t="shared" si="54"/>
        <v>2245.56627006999</v>
      </c>
    </row>
    <row r="131" s="26" customFormat="1" customHeight="1" spans="1:24">
      <c r="A131" s="10">
        <v>127</v>
      </c>
      <c r="B131" s="11" t="s">
        <v>204</v>
      </c>
      <c r="C131" s="11" t="s">
        <v>177</v>
      </c>
      <c r="D131" s="11" t="s">
        <v>190</v>
      </c>
      <c r="E131" s="11" t="s">
        <v>24</v>
      </c>
      <c r="F131" s="11">
        <v>9.85</v>
      </c>
      <c r="G131" s="13">
        <v>29.04</v>
      </c>
      <c r="H131" s="14">
        <f>1+(F131-10)/10</f>
        <v>0.985</v>
      </c>
      <c r="I131" s="17">
        <f>1+(G131-90)/9/10</f>
        <v>0.322666666666667</v>
      </c>
      <c r="J131" s="34">
        <v>1.1</v>
      </c>
      <c r="K131" s="17">
        <f t="shared" si="43"/>
        <v>0.349609333333333</v>
      </c>
      <c r="L131" s="17">
        <v>0</v>
      </c>
      <c r="M131" s="11">
        <v>2.4</v>
      </c>
      <c r="N131" s="18">
        <f t="shared" si="44"/>
        <v>4</v>
      </c>
      <c r="O131" s="19">
        <f t="shared" si="45"/>
        <v>1632.32597733333</v>
      </c>
      <c r="P131" s="19">
        <f t="shared" si="46"/>
        <v>1038.4</v>
      </c>
      <c r="Q131" s="19">
        <f t="shared" si="47"/>
        <v>115</v>
      </c>
      <c r="R131" s="19">
        <f t="shared" si="48"/>
        <v>0</v>
      </c>
      <c r="S131" s="19">
        <f t="shared" si="49"/>
        <v>143.022</v>
      </c>
      <c r="T131" s="19">
        <f t="shared" si="50"/>
        <v>250</v>
      </c>
      <c r="U131" s="19">
        <f t="shared" si="51"/>
        <v>143.04365898</v>
      </c>
      <c r="V131" s="19">
        <f t="shared" si="52"/>
        <v>298.9612472682</v>
      </c>
      <c r="W131" s="19">
        <f t="shared" si="53"/>
        <v>16.2933879761169</v>
      </c>
      <c r="X131" s="19">
        <f t="shared" si="54"/>
        <v>3637.04627155765</v>
      </c>
    </row>
    <row r="132" s="26" customFormat="1" customHeight="1" spans="1:24">
      <c r="A132" s="10">
        <v>128</v>
      </c>
      <c r="B132" s="11" t="s">
        <v>205</v>
      </c>
      <c r="C132" s="11" t="s">
        <v>177</v>
      </c>
      <c r="D132" s="11" t="s">
        <v>190</v>
      </c>
      <c r="E132" s="11" t="s">
        <v>159</v>
      </c>
      <c r="F132" s="11">
        <v>19.8</v>
      </c>
      <c r="G132" s="13">
        <v>40.1</v>
      </c>
      <c r="H132" s="14">
        <f>1+(F132-11)/11</f>
        <v>1.8</v>
      </c>
      <c r="I132" s="17">
        <f>1+(G132-100)/10/10</f>
        <v>0.401</v>
      </c>
      <c r="J132" s="34">
        <v>1</v>
      </c>
      <c r="K132" s="17">
        <f t="shared" si="43"/>
        <v>0.7218</v>
      </c>
      <c r="L132" s="17">
        <v>0</v>
      </c>
      <c r="M132" s="11">
        <v>2.89</v>
      </c>
      <c r="N132" s="18">
        <f t="shared" si="44"/>
        <v>4</v>
      </c>
      <c r="O132" s="19">
        <f t="shared" si="45"/>
        <v>3370.0842</v>
      </c>
      <c r="P132" s="19">
        <f t="shared" si="46"/>
        <v>944</v>
      </c>
      <c r="Q132" s="19">
        <f t="shared" si="47"/>
        <v>115</v>
      </c>
      <c r="R132" s="19">
        <f t="shared" si="48"/>
        <v>0</v>
      </c>
      <c r="S132" s="19">
        <f t="shared" si="49"/>
        <v>396.99</v>
      </c>
      <c r="T132" s="19">
        <f t="shared" si="50"/>
        <v>250</v>
      </c>
      <c r="U132" s="19">
        <f t="shared" si="51"/>
        <v>228.423339</v>
      </c>
      <c r="V132" s="19">
        <f t="shared" si="52"/>
        <v>477.40477851</v>
      </c>
      <c r="W132" s="19">
        <f t="shared" si="53"/>
        <v>26.018560428795</v>
      </c>
      <c r="X132" s="19">
        <f t="shared" si="54"/>
        <v>5807.9208779388</v>
      </c>
    </row>
    <row r="133" s="26" customFormat="1" customHeight="1" spans="1:24">
      <c r="A133" s="10">
        <v>129</v>
      </c>
      <c r="B133" s="32" t="s">
        <v>206</v>
      </c>
      <c r="C133" s="11" t="s">
        <v>177</v>
      </c>
      <c r="D133" s="11" t="s">
        <v>190</v>
      </c>
      <c r="E133" s="11" t="s">
        <v>24</v>
      </c>
      <c r="F133" s="11">
        <v>2.63</v>
      </c>
      <c r="G133" s="13">
        <v>36.2</v>
      </c>
      <c r="H133" s="14">
        <f t="shared" ref="H133:H142" si="83">1+(F133-8)/8</f>
        <v>0.32875</v>
      </c>
      <c r="I133" s="17">
        <f t="shared" ref="I133:I142" si="84">1+(G133-70)/7/10</f>
        <v>0.517142857142857</v>
      </c>
      <c r="J133" s="33">
        <v>1</v>
      </c>
      <c r="K133" s="17">
        <f t="shared" ref="K133:K196" si="85">H133*I133*J133</f>
        <v>0.170010714285714</v>
      </c>
      <c r="L133" s="17">
        <f>165.46/2</f>
        <v>82.73</v>
      </c>
      <c r="M133" s="11">
        <v>0.2</v>
      </c>
      <c r="N133" s="18">
        <f t="shared" ref="N133:N196" si="86">IF(OR(M133&gt;7),1,IF(OR(M133&gt;5),2,IF(OR(M133&gt;3),3,IF(OR(M133&gt;1),4,5))))</f>
        <v>5</v>
      </c>
      <c r="O133" s="19">
        <f t="shared" ref="O133:O196" si="87">CHOOSE(N133,8630,7495,6057,4669,3686)*$K133</f>
        <v>626.659492857143</v>
      </c>
      <c r="P133" s="19">
        <f t="shared" ref="P133:P196" si="88">CHOOSE(N133,2261,1756,1482,944,624)*J133</f>
        <v>624</v>
      </c>
      <c r="Q133" s="19">
        <f t="shared" ref="Q133:Q196" si="89">CHOOSE(N133,288,230,173,115,58)</f>
        <v>58</v>
      </c>
      <c r="R133" s="19">
        <f t="shared" ref="R133:R196" si="90">L133*3.41072</f>
        <v>282.1688656</v>
      </c>
      <c r="S133" s="19">
        <f t="shared" ref="S133:S196" si="91">100000*F133*G133/2000*0.01</f>
        <v>47.603</v>
      </c>
      <c r="T133" s="19">
        <f t="shared" ref="T133:T196" si="92">6.25*40</f>
        <v>250</v>
      </c>
      <c r="U133" s="19">
        <f t="shared" ref="U133:U196" si="93">(O133+P133+Q133+R133+S133+T133)*0.045</f>
        <v>84.9794111305714</v>
      </c>
      <c r="V133" s="19">
        <f t="shared" ref="V133:V196" si="94">(O133+P133+Q133+R133+S133+T133+U133)*0.09</f>
        <v>177.606969262894</v>
      </c>
      <c r="W133" s="19">
        <f t="shared" ref="W133:W196" si="95">(O133+P133+Q133+R133+S133+T133+U133+V133)*0.0045</f>
        <v>9.67957982482774</v>
      </c>
      <c r="X133" s="19">
        <f t="shared" ref="X133:X196" si="96">SUM(O133:W133)</f>
        <v>2160.69731867544</v>
      </c>
    </row>
    <row r="134" s="26" customFormat="1" customHeight="1" spans="1:24">
      <c r="A134" s="10">
        <v>130</v>
      </c>
      <c r="B134" s="32" t="s">
        <v>207</v>
      </c>
      <c r="C134" s="11" t="s">
        <v>177</v>
      </c>
      <c r="D134" s="11" t="s">
        <v>190</v>
      </c>
      <c r="E134" s="11" t="s">
        <v>24</v>
      </c>
      <c r="F134" s="11">
        <v>4.36</v>
      </c>
      <c r="G134" s="13">
        <v>39.1</v>
      </c>
      <c r="H134" s="14">
        <f t="shared" si="83"/>
        <v>0.545</v>
      </c>
      <c r="I134" s="17">
        <f t="shared" si="84"/>
        <v>0.558571428571429</v>
      </c>
      <c r="J134" s="33">
        <v>1</v>
      </c>
      <c r="K134" s="17">
        <f t="shared" si="85"/>
        <v>0.304421428571429</v>
      </c>
      <c r="L134" s="17">
        <f>214.42/2</f>
        <v>107.21</v>
      </c>
      <c r="M134" s="11">
        <v>0.57</v>
      </c>
      <c r="N134" s="18">
        <f t="shared" si="86"/>
        <v>5</v>
      </c>
      <c r="O134" s="19">
        <f t="shared" si="87"/>
        <v>1122.09738571429</v>
      </c>
      <c r="P134" s="19">
        <f t="shared" si="88"/>
        <v>624</v>
      </c>
      <c r="Q134" s="19">
        <f t="shared" si="89"/>
        <v>58</v>
      </c>
      <c r="R134" s="19">
        <f t="shared" si="90"/>
        <v>365.6632912</v>
      </c>
      <c r="S134" s="19">
        <f t="shared" si="91"/>
        <v>85.238</v>
      </c>
      <c r="T134" s="19">
        <f t="shared" si="92"/>
        <v>250</v>
      </c>
      <c r="U134" s="19">
        <f t="shared" si="93"/>
        <v>112.724940461143</v>
      </c>
      <c r="V134" s="19">
        <f t="shared" si="94"/>
        <v>235.595125563789</v>
      </c>
      <c r="W134" s="19">
        <f t="shared" si="95"/>
        <v>12.8399343432265</v>
      </c>
      <c r="X134" s="19">
        <f t="shared" si="96"/>
        <v>2866.15867728244</v>
      </c>
    </row>
    <row r="135" s="26" customFormat="1" customHeight="1" spans="1:24">
      <c r="A135" s="10">
        <v>131</v>
      </c>
      <c r="B135" s="11" t="s">
        <v>208</v>
      </c>
      <c r="C135" s="11" t="s">
        <v>177</v>
      </c>
      <c r="D135" s="11" t="s">
        <v>183</v>
      </c>
      <c r="E135" s="11" t="s">
        <v>24</v>
      </c>
      <c r="F135" s="11">
        <v>11</v>
      </c>
      <c r="G135" s="13">
        <v>37.6</v>
      </c>
      <c r="H135" s="14">
        <f>1+(F135-9)/9</f>
        <v>1.22222222222222</v>
      </c>
      <c r="I135" s="17">
        <f>1+(G135-80)/8/10</f>
        <v>0.47</v>
      </c>
      <c r="J135" s="33">
        <v>1</v>
      </c>
      <c r="K135" s="17">
        <f t="shared" si="85"/>
        <v>0.574444444444444</v>
      </c>
      <c r="L135" s="17">
        <f>SQRT(11*11+19.25*19.25)*37.6/2</f>
        <v>416.818725587035</v>
      </c>
      <c r="M135" s="11">
        <v>1.1</v>
      </c>
      <c r="N135" s="18">
        <f t="shared" si="86"/>
        <v>4</v>
      </c>
      <c r="O135" s="19">
        <f t="shared" si="87"/>
        <v>2682.08111111111</v>
      </c>
      <c r="P135" s="19">
        <f t="shared" si="88"/>
        <v>944</v>
      </c>
      <c r="Q135" s="19">
        <f t="shared" si="89"/>
        <v>115</v>
      </c>
      <c r="R135" s="19">
        <f t="shared" si="90"/>
        <v>1421.65196373421</v>
      </c>
      <c r="S135" s="19">
        <f t="shared" si="91"/>
        <v>206.8</v>
      </c>
      <c r="T135" s="19">
        <f t="shared" si="92"/>
        <v>250</v>
      </c>
      <c r="U135" s="19">
        <f t="shared" si="93"/>
        <v>252.87898836804</v>
      </c>
      <c r="V135" s="19">
        <f t="shared" si="94"/>
        <v>528.517085689203</v>
      </c>
      <c r="W135" s="19">
        <f t="shared" si="95"/>
        <v>28.8041811700615</v>
      </c>
      <c r="X135" s="19">
        <f t="shared" si="96"/>
        <v>6429.73333007263</v>
      </c>
    </row>
    <row r="136" s="26" customFormat="1" customHeight="1" spans="1:24">
      <c r="A136" s="10">
        <v>132</v>
      </c>
      <c r="B136" s="32" t="s">
        <v>209</v>
      </c>
      <c r="C136" s="11" t="s">
        <v>177</v>
      </c>
      <c r="D136" s="11" t="s">
        <v>180</v>
      </c>
      <c r="E136" s="11" t="s">
        <v>24</v>
      </c>
      <c r="F136" s="11">
        <v>4.95</v>
      </c>
      <c r="G136" s="13">
        <v>34.81</v>
      </c>
      <c r="H136" s="14">
        <f t="shared" si="83"/>
        <v>0.61875</v>
      </c>
      <c r="I136" s="17">
        <f t="shared" si="84"/>
        <v>0.497285714285714</v>
      </c>
      <c r="J136" s="33">
        <v>1</v>
      </c>
      <c r="K136" s="17">
        <f t="shared" si="85"/>
        <v>0.307695535714286</v>
      </c>
      <c r="L136" s="17">
        <v>0</v>
      </c>
      <c r="M136" s="11">
        <v>0.31</v>
      </c>
      <c r="N136" s="18">
        <f t="shared" si="86"/>
        <v>5</v>
      </c>
      <c r="O136" s="19">
        <f t="shared" si="87"/>
        <v>1134.16574464286</v>
      </c>
      <c r="P136" s="19">
        <f t="shared" si="88"/>
        <v>624</v>
      </c>
      <c r="Q136" s="19">
        <f t="shared" si="89"/>
        <v>58</v>
      </c>
      <c r="R136" s="19">
        <f t="shared" si="90"/>
        <v>0</v>
      </c>
      <c r="S136" s="19">
        <f t="shared" si="91"/>
        <v>86.15475</v>
      </c>
      <c r="T136" s="19">
        <f t="shared" si="92"/>
        <v>250</v>
      </c>
      <c r="U136" s="19">
        <f t="shared" si="93"/>
        <v>96.8544222589286</v>
      </c>
      <c r="V136" s="19">
        <f t="shared" si="94"/>
        <v>202.425742521161</v>
      </c>
      <c r="W136" s="19">
        <f t="shared" si="95"/>
        <v>11.0322029674033</v>
      </c>
      <c r="X136" s="19">
        <f t="shared" si="96"/>
        <v>2462.63286239035</v>
      </c>
    </row>
    <row r="137" s="26" customFormat="1" customHeight="1" spans="1:24">
      <c r="A137" s="10">
        <v>133</v>
      </c>
      <c r="B137" s="32" t="s">
        <v>210</v>
      </c>
      <c r="C137" s="11" t="s">
        <v>177</v>
      </c>
      <c r="D137" s="11" t="s">
        <v>211</v>
      </c>
      <c r="E137" s="11" t="s">
        <v>24</v>
      </c>
      <c r="F137" s="11">
        <v>5.82</v>
      </c>
      <c r="G137" s="13">
        <v>44.2</v>
      </c>
      <c r="H137" s="14">
        <f t="shared" si="83"/>
        <v>0.7275</v>
      </c>
      <c r="I137" s="17">
        <f t="shared" si="84"/>
        <v>0.631428571428571</v>
      </c>
      <c r="J137" s="33">
        <v>1</v>
      </c>
      <c r="K137" s="17">
        <f t="shared" si="85"/>
        <v>0.459364285714286</v>
      </c>
      <c r="L137" s="17">
        <f>SQRT(5.82*5.82+10.19*10.19)*44.2</f>
        <v>518.683751374573</v>
      </c>
      <c r="M137" s="11">
        <v>0.29</v>
      </c>
      <c r="N137" s="18">
        <f t="shared" si="86"/>
        <v>5</v>
      </c>
      <c r="O137" s="19">
        <f t="shared" si="87"/>
        <v>1693.21675714286</v>
      </c>
      <c r="P137" s="19">
        <f t="shared" si="88"/>
        <v>624</v>
      </c>
      <c r="Q137" s="19">
        <f t="shared" si="89"/>
        <v>58</v>
      </c>
      <c r="R137" s="19">
        <f t="shared" si="90"/>
        <v>1769.08504448828</v>
      </c>
      <c r="S137" s="19">
        <f t="shared" si="91"/>
        <v>128.622</v>
      </c>
      <c r="T137" s="19">
        <f t="shared" si="92"/>
        <v>250</v>
      </c>
      <c r="U137" s="19">
        <f t="shared" si="93"/>
        <v>203.531571073401</v>
      </c>
      <c r="V137" s="19">
        <f t="shared" si="94"/>
        <v>425.380983543409</v>
      </c>
      <c r="W137" s="19">
        <f t="shared" si="95"/>
        <v>23.1832636031158</v>
      </c>
      <c r="X137" s="19">
        <f t="shared" si="96"/>
        <v>5175.01961985107</v>
      </c>
    </row>
    <row r="138" s="26" customFormat="1" customHeight="1" spans="1:24">
      <c r="A138" s="10">
        <v>134</v>
      </c>
      <c r="B138" s="32" t="s">
        <v>212</v>
      </c>
      <c r="C138" s="11" t="s">
        <v>177</v>
      </c>
      <c r="D138" s="11" t="s">
        <v>180</v>
      </c>
      <c r="E138" s="11" t="s">
        <v>24</v>
      </c>
      <c r="F138" s="11">
        <v>8.34</v>
      </c>
      <c r="G138" s="13">
        <v>25.94</v>
      </c>
      <c r="H138" s="14">
        <f t="shared" si="83"/>
        <v>1.0425</v>
      </c>
      <c r="I138" s="17">
        <f t="shared" si="84"/>
        <v>0.370571428571429</v>
      </c>
      <c r="J138" s="33">
        <v>1</v>
      </c>
      <c r="K138" s="17">
        <f t="shared" si="85"/>
        <v>0.386320714285714</v>
      </c>
      <c r="L138" s="17">
        <f>SQRT(8.34*8.34+10.51*10.51)*25.94</f>
        <v>348.036797296665</v>
      </c>
      <c r="M138" s="11">
        <v>0.3</v>
      </c>
      <c r="N138" s="18">
        <f t="shared" si="86"/>
        <v>5</v>
      </c>
      <c r="O138" s="19">
        <f t="shared" si="87"/>
        <v>1423.97815285714</v>
      </c>
      <c r="P138" s="19">
        <f t="shared" si="88"/>
        <v>624</v>
      </c>
      <c r="Q138" s="19">
        <f t="shared" si="89"/>
        <v>58</v>
      </c>
      <c r="R138" s="19">
        <f t="shared" si="90"/>
        <v>1187.05606527568</v>
      </c>
      <c r="S138" s="19">
        <f t="shared" si="91"/>
        <v>108.1698</v>
      </c>
      <c r="T138" s="19">
        <f t="shared" si="92"/>
        <v>250</v>
      </c>
      <c r="U138" s="19">
        <f t="shared" si="93"/>
        <v>164.304180815977</v>
      </c>
      <c r="V138" s="19">
        <f t="shared" si="94"/>
        <v>343.395737905392</v>
      </c>
      <c r="W138" s="19">
        <f t="shared" si="95"/>
        <v>18.7150677158439</v>
      </c>
      <c r="X138" s="19">
        <f t="shared" si="96"/>
        <v>4177.61900457004</v>
      </c>
    </row>
    <row r="139" s="26" customFormat="1" customHeight="1" spans="1:24">
      <c r="A139" s="10">
        <v>135</v>
      </c>
      <c r="B139" s="11" t="s">
        <v>213</v>
      </c>
      <c r="C139" s="11" t="s">
        <v>177</v>
      </c>
      <c r="D139" s="11" t="s">
        <v>178</v>
      </c>
      <c r="E139" s="11" t="s">
        <v>24</v>
      </c>
      <c r="F139" s="11">
        <v>6.35</v>
      </c>
      <c r="G139" s="13">
        <v>54</v>
      </c>
      <c r="H139" s="14">
        <f t="shared" si="83"/>
        <v>0.79375</v>
      </c>
      <c r="I139" s="17">
        <f t="shared" si="84"/>
        <v>0.771428571428571</v>
      </c>
      <c r="J139" s="33">
        <v>1</v>
      </c>
      <c r="K139" s="17">
        <f t="shared" si="85"/>
        <v>0.612321428571429</v>
      </c>
      <c r="L139" s="17">
        <v>0</v>
      </c>
      <c r="M139" s="11">
        <v>0.53</v>
      </c>
      <c r="N139" s="18">
        <f t="shared" si="86"/>
        <v>5</v>
      </c>
      <c r="O139" s="19">
        <f t="shared" si="87"/>
        <v>2257.01678571429</v>
      </c>
      <c r="P139" s="19">
        <f t="shared" si="88"/>
        <v>624</v>
      </c>
      <c r="Q139" s="19">
        <f t="shared" si="89"/>
        <v>58</v>
      </c>
      <c r="R139" s="19">
        <f t="shared" si="90"/>
        <v>0</v>
      </c>
      <c r="S139" s="19">
        <f t="shared" si="91"/>
        <v>171.45</v>
      </c>
      <c r="T139" s="19">
        <f t="shared" si="92"/>
        <v>250</v>
      </c>
      <c r="U139" s="19">
        <f t="shared" si="93"/>
        <v>151.221005357143</v>
      </c>
      <c r="V139" s="19">
        <f t="shared" si="94"/>
        <v>316.051901196429</v>
      </c>
      <c r="W139" s="19">
        <f t="shared" si="95"/>
        <v>17.2248286152054</v>
      </c>
      <c r="X139" s="19">
        <f t="shared" si="96"/>
        <v>3844.96452088306</v>
      </c>
    </row>
    <row r="140" s="26" customFormat="1" customHeight="1" spans="1:24">
      <c r="A140" s="10">
        <v>136</v>
      </c>
      <c r="B140" s="11" t="s">
        <v>214</v>
      </c>
      <c r="C140" s="11" t="s">
        <v>177</v>
      </c>
      <c r="D140" s="11" t="s">
        <v>180</v>
      </c>
      <c r="E140" s="11" t="s">
        <v>24</v>
      </c>
      <c r="F140" s="11">
        <v>8.83</v>
      </c>
      <c r="G140" s="13">
        <v>64.81</v>
      </c>
      <c r="H140" s="14">
        <f t="shared" si="83"/>
        <v>1.10375</v>
      </c>
      <c r="I140" s="17">
        <f t="shared" si="84"/>
        <v>0.925857142857143</v>
      </c>
      <c r="J140" s="33">
        <v>1</v>
      </c>
      <c r="K140" s="17">
        <f t="shared" si="85"/>
        <v>1.02191482142857</v>
      </c>
      <c r="L140" s="17">
        <f>SQRT(8.83*8.83+14.57*14.57)*64.81</f>
        <v>1104.15737750657</v>
      </c>
      <c r="M140" s="11">
        <v>0.81</v>
      </c>
      <c r="N140" s="18">
        <f t="shared" si="86"/>
        <v>5</v>
      </c>
      <c r="O140" s="19">
        <f t="shared" si="87"/>
        <v>3766.77803178572</v>
      </c>
      <c r="P140" s="19">
        <f t="shared" si="88"/>
        <v>624</v>
      </c>
      <c r="Q140" s="19">
        <f t="shared" si="89"/>
        <v>58</v>
      </c>
      <c r="R140" s="19">
        <f t="shared" si="90"/>
        <v>3765.9716506092</v>
      </c>
      <c r="S140" s="19">
        <f t="shared" si="91"/>
        <v>286.13615</v>
      </c>
      <c r="T140" s="19">
        <f t="shared" si="92"/>
        <v>250</v>
      </c>
      <c r="U140" s="19">
        <f t="shared" si="93"/>
        <v>393.789862457771</v>
      </c>
      <c r="V140" s="19">
        <f t="shared" si="94"/>
        <v>823.020812536742</v>
      </c>
      <c r="W140" s="19">
        <f t="shared" si="95"/>
        <v>44.8546342832524</v>
      </c>
      <c r="X140" s="19">
        <f t="shared" si="96"/>
        <v>10012.5511416727</v>
      </c>
    </row>
    <row r="141" s="26" customFormat="1" customHeight="1" spans="1:24">
      <c r="A141" s="10">
        <v>137</v>
      </c>
      <c r="B141" s="32" t="s">
        <v>215</v>
      </c>
      <c r="C141" s="11" t="s">
        <v>177</v>
      </c>
      <c r="D141" s="11" t="s">
        <v>190</v>
      </c>
      <c r="E141" s="11" t="s">
        <v>24</v>
      </c>
      <c r="F141" s="11">
        <v>5.1</v>
      </c>
      <c r="G141" s="13">
        <v>33</v>
      </c>
      <c r="H141" s="14">
        <f t="shared" si="83"/>
        <v>0.6375</v>
      </c>
      <c r="I141" s="17">
        <f t="shared" si="84"/>
        <v>0.471428571428571</v>
      </c>
      <c r="J141" s="33">
        <v>1</v>
      </c>
      <c r="K141" s="17">
        <f t="shared" si="85"/>
        <v>0.300535714285714</v>
      </c>
      <c r="L141" s="17">
        <f>SQRT(5.1*5.1+13.26*13.26)*33</f>
        <v>468.829549410017</v>
      </c>
      <c r="M141" s="11">
        <v>0.29</v>
      </c>
      <c r="N141" s="18">
        <f t="shared" si="86"/>
        <v>5</v>
      </c>
      <c r="O141" s="19">
        <f t="shared" si="87"/>
        <v>1107.77464285714</v>
      </c>
      <c r="P141" s="19">
        <f t="shared" si="88"/>
        <v>624</v>
      </c>
      <c r="Q141" s="19">
        <f t="shared" si="89"/>
        <v>58</v>
      </c>
      <c r="R141" s="19">
        <f t="shared" si="90"/>
        <v>1599.04632076373</v>
      </c>
      <c r="S141" s="19">
        <f t="shared" si="91"/>
        <v>84.15</v>
      </c>
      <c r="T141" s="19">
        <f t="shared" si="92"/>
        <v>250</v>
      </c>
      <c r="U141" s="19">
        <f t="shared" si="93"/>
        <v>167.533693362939</v>
      </c>
      <c r="V141" s="19">
        <f t="shared" si="94"/>
        <v>350.145419128544</v>
      </c>
      <c r="W141" s="19">
        <f t="shared" si="95"/>
        <v>19.0829253425056</v>
      </c>
      <c r="X141" s="19">
        <f t="shared" si="96"/>
        <v>4259.73300145487</v>
      </c>
    </row>
    <row r="142" s="26" customFormat="1" customHeight="1" spans="1:24">
      <c r="A142" s="10">
        <v>138</v>
      </c>
      <c r="B142" s="32" t="s">
        <v>216</v>
      </c>
      <c r="C142" s="11" t="s">
        <v>177</v>
      </c>
      <c r="D142" s="11" t="s">
        <v>217</v>
      </c>
      <c r="E142" s="11" t="s">
        <v>24</v>
      </c>
      <c r="F142" s="11">
        <v>5.56</v>
      </c>
      <c r="G142" s="13">
        <v>29.27</v>
      </c>
      <c r="H142" s="14">
        <f t="shared" si="83"/>
        <v>0.695</v>
      </c>
      <c r="I142" s="17">
        <f t="shared" si="84"/>
        <v>0.418142857142857</v>
      </c>
      <c r="J142" s="33">
        <v>1</v>
      </c>
      <c r="K142" s="17">
        <f t="shared" si="85"/>
        <v>0.290609285714286</v>
      </c>
      <c r="L142" s="17">
        <f>SQRT(5.56*5.56+6.95*6.95)*29.27</f>
        <v>260.513030537227</v>
      </c>
      <c r="M142" s="11">
        <v>0.31</v>
      </c>
      <c r="N142" s="18">
        <f t="shared" si="86"/>
        <v>5</v>
      </c>
      <c r="O142" s="19">
        <f t="shared" si="87"/>
        <v>1071.18582714286</v>
      </c>
      <c r="P142" s="19">
        <f t="shared" si="88"/>
        <v>624</v>
      </c>
      <c r="Q142" s="19">
        <f t="shared" si="89"/>
        <v>58</v>
      </c>
      <c r="R142" s="19">
        <f t="shared" si="90"/>
        <v>888.53700351393</v>
      </c>
      <c r="S142" s="19">
        <f t="shared" si="91"/>
        <v>81.3706</v>
      </c>
      <c r="T142" s="19">
        <f t="shared" si="92"/>
        <v>250</v>
      </c>
      <c r="U142" s="19">
        <f t="shared" si="93"/>
        <v>133.789204379555</v>
      </c>
      <c r="V142" s="19">
        <f t="shared" si="94"/>
        <v>279.619437153271</v>
      </c>
      <c r="W142" s="19">
        <f t="shared" si="95"/>
        <v>15.2392593248533</v>
      </c>
      <c r="X142" s="19">
        <f t="shared" si="96"/>
        <v>3401.74133151447</v>
      </c>
    </row>
    <row r="143" s="26" customFormat="1" customHeight="1" spans="1:24">
      <c r="A143" s="10">
        <v>139</v>
      </c>
      <c r="B143" s="11" t="s">
        <v>218</v>
      </c>
      <c r="C143" s="11" t="s">
        <v>177</v>
      </c>
      <c r="D143" s="11" t="s">
        <v>178</v>
      </c>
      <c r="E143" s="11" t="s">
        <v>24</v>
      </c>
      <c r="F143" s="11">
        <v>6.2</v>
      </c>
      <c r="G143" s="13">
        <v>21.37</v>
      </c>
      <c r="H143" s="14">
        <f t="shared" ref="H143:H146" si="97">1+(F143-9)/9</f>
        <v>0.688888888888889</v>
      </c>
      <c r="I143" s="17">
        <f t="shared" ref="I143:I146" si="98">1+(G143-80)/8/10</f>
        <v>0.267125</v>
      </c>
      <c r="J143" s="33">
        <v>1</v>
      </c>
      <c r="K143" s="17">
        <f t="shared" si="85"/>
        <v>0.184019444444444</v>
      </c>
      <c r="L143" s="17">
        <v>0</v>
      </c>
      <c r="M143" s="11">
        <v>1.1</v>
      </c>
      <c r="N143" s="18">
        <f t="shared" si="86"/>
        <v>4</v>
      </c>
      <c r="O143" s="19">
        <f t="shared" si="87"/>
        <v>859.186786111111</v>
      </c>
      <c r="P143" s="19">
        <f t="shared" si="88"/>
        <v>944</v>
      </c>
      <c r="Q143" s="19">
        <f t="shared" si="89"/>
        <v>115</v>
      </c>
      <c r="R143" s="19">
        <f t="shared" si="90"/>
        <v>0</v>
      </c>
      <c r="S143" s="19">
        <f t="shared" si="91"/>
        <v>66.247</v>
      </c>
      <c r="T143" s="19">
        <f t="shared" si="92"/>
        <v>250</v>
      </c>
      <c r="U143" s="19">
        <f t="shared" si="93"/>
        <v>100.549520375</v>
      </c>
      <c r="V143" s="19">
        <f t="shared" si="94"/>
        <v>210.14849758375</v>
      </c>
      <c r="W143" s="19">
        <f t="shared" si="95"/>
        <v>11.4530931183144</v>
      </c>
      <c r="X143" s="19">
        <f t="shared" si="96"/>
        <v>2556.58489718818</v>
      </c>
    </row>
    <row r="144" s="26" customFormat="1" customHeight="1" spans="1:24">
      <c r="A144" s="10">
        <v>140</v>
      </c>
      <c r="B144" s="11" t="s">
        <v>219</v>
      </c>
      <c r="C144" s="11" t="s">
        <v>177</v>
      </c>
      <c r="D144" s="11" t="s">
        <v>195</v>
      </c>
      <c r="E144" s="11" t="s">
        <v>24</v>
      </c>
      <c r="F144" s="11">
        <v>10.85</v>
      </c>
      <c r="G144" s="13">
        <v>56.8</v>
      </c>
      <c r="H144" s="14">
        <f t="shared" si="97"/>
        <v>1.20555555555556</v>
      </c>
      <c r="I144" s="17">
        <f t="shared" si="98"/>
        <v>0.71</v>
      </c>
      <c r="J144" s="33">
        <v>1</v>
      </c>
      <c r="K144" s="17">
        <f t="shared" si="85"/>
        <v>0.855944444444444</v>
      </c>
      <c r="L144" s="17">
        <f>SQRT(10.85*10.85+18.99+18.99)*56.8/2</f>
        <v>354.37749420639</v>
      </c>
      <c r="M144" s="11">
        <v>1.14</v>
      </c>
      <c r="N144" s="18">
        <f t="shared" si="86"/>
        <v>4</v>
      </c>
      <c r="O144" s="19">
        <f t="shared" si="87"/>
        <v>3996.40461111111</v>
      </c>
      <c r="P144" s="19">
        <f t="shared" si="88"/>
        <v>944</v>
      </c>
      <c r="Q144" s="19">
        <f t="shared" si="89"/>
        <v>115</v>
      </c>
      <c r="R144" s="19">
        <f t="shared" si="90"/>
        <v>1208.68240703962</v>
      </c>
      <c r="S144" s="19">
        <f t="shared" si="91"/>
        <v>308.14</v>
      </c>
      <c r="T144" s="19">
        <f t="shared" si="92"/>
        <v>250</v>
      </c>
      <c r="U144" s="19">
        <f t="shared" si="93"/>
        <v>307.000215816783</v>
      </c>
      <c r="V144" s="19">
        <f t="shared" si="94"/>
        <v>641.630451057076</v>
      </c>
      <c r="W144" s="19">
        <f t="shared" si="95"/>
        <v>34.9688595826106</v>
      </c>
      <c r="X144" s="19">
        <f t="shared" si="96"/>
        <v>7805.8265446072</v>
      </c>
    </row>
    <row r="145" s="26" customFormat="1" customHeight="1" spans="1:24">
      <c r="A145" s="10">
        <v>141</v>
      </c>
      <c r="B145" s="11" t="s">
        <v>220</v>
      </c>
      <c r="C145" s="11" t="s">
        <v>221</v>
      </c>
      <c r="D145" s="11" t="s">
        <v>222</v>
      </c>
      <c r="E145" s="11" t="s">
        <v>24</v>
      </c>
      <c r="F145" s="11">
        <v>9.28</v>
      </c>
      <c r="G145" s="13">
        <v>59.3</v>
      </c>
      <c r="H145" s="14">
        <f t="shared" si="97"/>
        <v>1.03111111111111</v>
      </c>
      <c r="I145" s="17">
        <f t="shared" si="98"/>
        <v>0.74125</v>
      </c>
      <c r="J145" s="33">
        <v>1</v>
      </c>
      <c r="K145" s="17">
        <f t="shared" si="85"/>
        <v>0.764311111111111</v>
      </c>
      <c r="L145" s="17">
        <f>SQRT(9.28*9.28+21.34*21.34)*59.3/2</f>
        <v>689.968942391612</v>
      </c>
      <c r="M145" s="11">
        <v>0.96</v>
      </c>
      <c r="N145" s="18">
        <f t="shared" si="86"/>
        <v>5</v>
      </c>
      <c r="O145" s="19">
        <f t="shared" si="87"/>
        <v>2817.25075555556</v>
      </c>
      <c r="P145" s="19">
        <f t="shared" si="88"/>
        <v>624</v>
      </c>
      <c r="Q145" s="19">
        <f t="shared" si="89"/>
        <v>58</v>
      </c>
      <c r="R145" s="19">
        <f t="shared" si="90"/>
        <v>2353.29087119392</v>
      </c>
      <c r="S145" s="19">
        <f t="shared" si="91"/>
        <v>275.152</v>
      </c>
      <c r="T145" s="19">
        <f t="shared" si="92"/>
        <v>250</v>
      </c>
      <c r="U145" s="19">
        <f t="shared" si="93"/>
        <v>286.996213203726</v>
      </c>
      <c r="V145" s="19">
        <f t="shared" si="94"/>
        <v>599.822085595788</v>
      </c>
      <c r="W145" s="19">
        <f t="shared" si="95"/>
        <v>32.6903036649705</v>
      </c>
      <c r="X145" s="19">
        <f t="shared" si="96"/>
        <v>7297.20222921396</v>
      </c>
    </row>
    <row r="146" s="26" customFormat="1" customHeight="1" spans="1:24">
      <c r="A146" s="10">
        <v>142</v>
      </c>
      <c r="B146" s="11" t="s">
        <v>223</v>
      </c>
      <c r="C146" s="11" t="s">
        <v>221</v>
      </c>
      <c r="D146" s="11" t="s">
        <v>224</v>
      </c>
      <c r="E146" s="11" t="s">
        <v>24</v>
      </c>
      <c r="F146" s="11">
        <v>6.5</v>
      </c>
      <c r="G146" s="13">
        <v>42</v>
      </c>
      <c r="H146" s="14">
        <f t="shared" si="97"/>
        <v>0.722222222222222</v>
      </c>
      <c r="I146" s="17">
        <f t="shared" si="98"/>
        <v>0.525</v>
      </c>
      <c r="J146" s="33">
        <v>1</v>
      </c>
      <c r="K146" s="17">
        <f t="shared" si="85"/>
        <v>0.379166666666667</v>
      </c>
      <c r="L146" s="17">
        <v>0</v>
      </c>
      <c r="M146" s="11">
        <v>1.5</v>
      </c>
      <c r="N146" s="18">
        <f t="shared" si="86"/>
        <v>4</v>
      </c>
      <c r="O146" s="19">
        <f t="shared" si="87"/>
        <v>1770.32916666667</v>
      </c>
      <c r="P146" s="19">
        <f t="shared" si="88"/>
        <v>944</v>
      </c>
      <c r="Q146" s="19">
        <f t="shared" si="89"/>
        <v>115</v>
      </c>
      <c r="R146" s="19">
        <f t="shared" si="90"/>
        <v>0</v>
      </c>
      <c r="S146" s="19">
        <f t="shared" si="91"/>
        <v>136.5</v>
      </c>
      <c r="T146" s="19">
        <f t="shared" si="92"/>
        <v>250</v>
      </c>
      <c r="U146" s="19">
        <f t="shared" si="93"/>
        <v>144.7123125</v>
      </c>
      <c r="V146" s="19">
        <f t="shared" si="94"/>
        <v>302.448733125</v>
      </c>
      <c r="W146" s="19">
        <f t="shared" si="95"/>
        <v>16.4834559553125</v>
      </c>
      <c r="X146" s="19">
        <f t="shared" si="96"/>
        <v>3679.47366824698</v>
      </c>
    </row>
    <row r="147" s="26" customFormat="1" customHeight="1" spans="1:24">
      <c r="A147" s="10">
        <v>143</v>
      </c>
      <c r="B147" s="11" t="s">
        <v>225</v>
      </c>
      <c r="C147" s="11" t="s">
        <v>221</v>
      </c>
      <c r="D147" s="11" t="s">
        <v>226</v>
      </c>
      <c r="E147" s="11" t="s">
        <v>24</v>
      </c>
      <c r="F147" s="11">
        <v>7</v>
      </c>
      <c r="G147" s="13">
        <v>54</v>
      </c>
      <c r="H147" s="14">
        <f>1+(F147-8)/8</f>
        <v>0.875</v>
      </c>
      <c r="I147" s="17">
        <f>1+(G147-70)/7/10</f>
        <v>0.771428571428571</v>
      </c>
      <c r="J147" s="33">
        <v>1</v>
      </c>
      <c r="K147" s="17">
        <f t="shared" si="85"/>
        <v>0.675</v>
      </c>
      <c r="L147" s="17">
        <f>SQRT(7*7+12.25*12.25)*54/2</f>
        <v>380.941678607106</v>
      </c>
      <c r="M147" s="11">
        <v>0.82</v>
      </c>
      <c r="N147" s="18">
        <f t="shared" si="86"/>
        <v>5</v>
      </c>
      <c r="O147" s="19">
        <f t="shared" si="87"/>
        <v>2488.05</v>
      </c>
      <c r="P147" s="19">
        <f t="shared" si="88"/>
        <v>624</v>
      </c>
      <c r="Q147" s="19">
        <f t="shared" si="89"/>
        <v>58</v>
      </c>
      <c r="R147" s="19">
        <f t="shared" si="90"/>
        <v>1299.28540205883</v>
      </c>
      <c r="S147" s="19">
        <f t="shared" si="91"/>
        <v>189</v>
      </c>
      <c r="T147" s="19">
        <f t="shared" si="92"/>
        <v>250</v>
      </c>
      <c r="U147" s="19">
        <f t="shared" si="93"/>
        <v>220.875093092647</v>
      </c>
      <c r="V147" s="19">
        <f t="shared" si="94"/>
        <v>461.628944563633</v>
      </c>
      <c r="W147" s="19">
        <f t="shared" si="95"/>
        <v>25.158777478718</v>
      </c>
      <c r="X147" s="19">
        <f t="shared" si="96"/>
        <v>5615.99821719383</v>
      </c>
    </row>
    <row r="148" s="26" customFormat="1" customHeight="1" spans="1:24">
      <c r="A148" s="10">
        <v>144</v>
      </c>
      <c r="B148" s="11" t="s">
        <v>227</v>
      </c>
      <c r="C148" s="11" t="s">
        <v>221</v>
      </c>
      <c r="D148" s="11" t="s">
        <v>226</v>
      </c>
      <c r="E148" s="11" t="s">
        <v>24</v>
      </c>
      <c r="F148" s="11">
        <v>8.5</v>
      </c>
      <c r="G148" s="13">
        <v>80</v>
      </c>
      <c r="H148" s="14">
        <f>1+(F148-10)/10</f>
        <v>0.85</v>
      </c>
      <c r="I148" s="17">
        <f>1+(G148-90)/9/10</f>
        <v>0.888888888888889</v>
      </c>
      <c r="J148" s="33">
        <v>1</v>
      </c>
      <c r="K148" s="17">
        <f t="shared" si="85"/>
        <v>0.755555555555556</v>
      </c>
      <c r="L148" s="17">
        <f>SQRT(8.5*8.5+14.88*14.88)*80</f>
        <v>1370.93112883179</v>
      </c>
      <c r="M148" s="11">
        <v>3</v>
      </c>
      <c r="N148" s="18">
        <f t="shared" si="86"/>
        <v>4</v>
      </c>
      <c r="O148" s="19">
        <f t="shared" si="87"/>
        <v>3527.68888888889</v>
      </c>
      <c r="P148" s="19">
        <f t="shared" si="88"/>
        <v>944</v>
      </c>
      <c r="Q148" s="19">
        <f t="shared" si="89"/>
        <v>115</v>
      </c>
      <c r="R148" s="19">
        <f t="shared" si="90"/>
        <v>4675.86221972915</v>
      </c>
      <c r="S148" s="19">
        <f t="shared" si="91"/>
        <v>340</v>
      </c>
      <c r="T148" s="19">
        <f t="shared" si="92"/>
        <v>250</v>
      </c>
      <c r="U148" s="19">
        <f t="shared" si="93"/>
        <v>443.364799887812</v>
      </c>
      <c r="V148" s="19">
        <f t="shared" si="94"/>
        <v>926.632431765527</v>
      </c>
      <c r="W148" s="19">
        <f t="shared" si="95"/>
        <v>50.5014675312212</v>
      </c>
      <c r="X148" s="19">
        <f t="shared" si="96"/>
        <v>11273.0498078026</v>
      </c>
    </row>
    <row r="149" s="26" customFormat="1" customHeight="1" spans="1:24">
      <c r="A149" s="10">
        <v>145</v>
      </c>
      <c r="B149" s="11" t="s">
        <v>228</v>
      </c>
      <c r="C149" s="11" t="s">
        <v>221</v>
      </c>
      <c r="D149" s="11" t="s">
        <v>226</v>
      </c>
      <c r="E149" s="11" t="s">
        <v>24</v>
      </c>
      <c r="F149" s="11">
        <v>9.4</v>
      </c>
      <c r="G149" s="13">
        <v>76.5</v>
      </c>
      <c r="H149" s="14">
        <f t="shared" ref="H149:H151" si="99">1+(F149-9)/9</f>
        <v>1.04444444444444</v>
      </c>
      <c r="I149" s="17">
        <f t="shared" ref="I149:I151" si="100">1+(G149-80)/8/10</f>
        <v>0.95625</v>
      </c>
      <c r="J149" s="33">
        <v>1</v>
      </c>
      <c r="K149" s="17">
        <f t="shared" si="85"/>
        <v>0.99875</v>
      </c>
      <c r="L149" s="17">
        <f>SQRT(9.4*9.4+16.45*16.45)*76.5/2</f>
        <v>724.696193350186</v>
      </c>
      <c r="M149" s="11">
        <v>1.2</v>
      </c>
      <c r="N149" s="18">
        <f t="shared" si="86"/>
        <v>4</v>
      </c>
      <c r="O149" s="19">
        <f t="shared" si="87"/>
        <v>4663.16375</v>
      </c>
      <c r="P149" s="19">
        <f t="shared" si="88"/>
        <v>944</v>
      </c>
      <c r="Q149" s="19">
        <f t="shared" si="89"/>
        <v>115</v>
      </c>
      <c r="R149" s="19">
        <f t="shared" si="90"/>
        <v>2471.73580058335</v>
      </c>
      <c r="S149" s="19">
        <f t="shared" si="91"/>
        <v>359.55</v>
      </c>
      <c r="T149" s="19">
        <f t="shared" si="92"/>
        <v>250</v>
      </c>
      <c r="U149" s="19">
        <f t="shared" si="93"/>
        <v>396.155229776251</v>
      </c>
      <c r="V149" s="19">
        <f t="shared" si="94"/>
        <v>827.964430232364</v>
      </c>
      <c r="W149" s="19">
        <f t="shared" si="95"/>
        <v>45.1240614476638</v>
      </c>
      <c r="X149" s="19">
        <f t="shared" si="96"/>
        <v>10072.6932720396</v>
      </c>
    </row>
    <row r="150" s="26" customFormat="1" customHeight="1" spans="1:24">
      <c r="A150" s="10">
        <v>146</v>
      </c>
      <c r="B150" s="11" t="s">
        <v>229</v>
      </c>
      <c r="C150" s="11" t="s">
        <v>221</v>
      </c>
      <c r="D150" s="11" t="s">
        <v>226</v>
      </c>
      <c r="E150" s="11" t="s">
        <v>24</v>
      </c>
      <c r="F150" s="11">
        <v>11.07</v>
      </c>
      <c r="G150" s="13">
        <v>74</v>
      </c>
      <c r="H150" s="14">
        <f t="shared" si="99"/>
        <v>1.23</v>
      </c>
      <c r="I150" s="17">
        <f t="shared" si="100"/>
        <v>0.925</v>
      </c>
      <c r="J150" s="33">
        <v>1</v>
      </c>
      <c r="K150" s="17">
        <f t="shared" si="85"/>
        <v>1.13775</v>
      </c>
      <c r="L150" s="17">
        <f>SQRT(11.07*11.07+19.37*19.37)*74</f>
        <v>1650.94945313295</v>
      </c>
      <c r="M150" s="11">
        <v>1</v>
      </c>
      <c r="N150" s="18">
        <f t="shared" si="86"/>
        <v>5</v>
      </c>
      <c r="O150" s="19">
        <f t="shared" si="87"/>
        <v>4193.7465</v>
      </c>
      <c r="P150" s="19">
        <f t="shared" si="88"/>
        <v>624</v>
      </c>
      <c r="Q150" s="19">
        <f t="shared" si="89"/>
        <v>58</v>
      </c>
      <c r="R150" s="19">
        <f t="shared" si="90"/>
        <v>5630.92631878963</v>
      </c>
      <c r="S150" s="19">
        <f t="shared" si="91"/>
        <v>409.59</v>
      </c>
      <c r="T150" s="19">
        <f t="shared" si="92"/>
        <v>250</v>
      </c>
      <c r="U150" s="19">
        <f t="shared" si="93"/>
        <v>502.481826845533</v>
      </c>
      <c r="V150" s="19">
        <f t="shared" si="94"/>
        <v>1050.18701810716</v>
      </c>
      <c r="W150" s="19">
        <f t="shared" si="95"/>
        <v>57.2351924868405</v>
      </c>
      <c r="X150" s="19">
        <f t="shared" si="96"/>
        <v>12776.1668562292</v>
      </c>
    </row>
    <row r="151" s="26" customFormat="1" customHeight="1" spans="1:24">
      <c r="A151" s="10">
        <v>147</v>
      </c>
      <c r="B151" s="11" t="s">
        <v>230</v>
      </c>
      <c r="C151" s="11" t="s">
        <v>221</v>
      </c>
      <c r="D151" s="11" t="s">
        <v>231</v>
      </c>
      <c r="E151" s="11" t="s">
        <v>24</v>
      </c>
      <c r="F151" s="11">
        <v>13.51</v>
      </c>
      <c r="G151" s="13">
        <v>41.99</v>
      </c>
      <c r="H151" s="14">
        <f t="shared" si="99"/>
        <v>1.50111111111111</v>
      </c>
      <c r="I151" s="17">
        <f t="shared" si="100"/>
        <v>0.524875</v>
      </c>
      <c r="J151" s="33">
        <v>1</v>
      </c>
      <c r="K151" s="17">
        <f t="shared" si="85"/>
        <v>0.787895694444444</v>
      </c>
      <c r="L151" s="17">
        <f>SQRT(13.51*13.51+23.64*23.64)*41.99/2</f>
        <v>571.654063745936</v>
      </c>
      <c r="M151" s="11">
        <v>1.5</v>
      </c>
      <c r="N151" s="18">
        <f t="shared" si="86"/>
        <v>4</v>
      </c>
      <c r="O151" s="19">
        <f t="shared" si="87"/>
        <v>3678.68499736111</v>
      </c>
      <c r="P151" s="19">
        <f t="shared" si="88"/>
        <v>944</v>
      </c>
      <c r="Q151" s="19">
        <f t="shared" si="89"/>
        <v>115</v>
      </c>
      <c r="R151" s="19">
        <f t="shared" si="90"/>
        <v>1949.75194829954</v>
      </c>
      <c r="S151" s="19">
        <f t="shared" si="91"/>
        <v>283.64245</v>
      </c>
      <c r="T151" s="19">
        <f t="shared" si="92"/>
        <v>250</v>
      </c>
      <c r="U151" s="19">
        <f t="shared" si="93"/>
        <v>324.948572804729</v>
      </c>
      <c r="V151" s="19">
        <f t="shared" si="94"/>
        <v>679.142517161884</v>
      </c>
      <c r="W151" s="19">
        <f t="shared" si="95"/>
        <v>37.0132671853227</v>
      </c>
      <c r="X151" s="19">
        <f t="shared" si="96"/>
        <v>8262.18375281259</v>
      </c>
    </row>
    <row r="152" s="26" customFormat="1" customHeight="1" spans="1:24">
      <c r="A152" s="10">
        <v>148</v>
      </c>
      <c r="B152" s="11" t="s">
        <v>232</v>
      </c>
      <c r="C152" s="11" t="s">
        <v>221</v>
      </c>
      <c r="D152" s="11" t="s">
        <v>233</v>
      </c>
      <c r="E152" s="11" t="s">
        <v>24</v>
      </c>
      <c r="F152" s="11">
        <v>7.5</v>
      </c>
      <c r="G152" s="13">
        <v>31</v>
      </c>
      <c r="H152" s="14">
        <f t="shared" ref="H152:H156" si="101">1+(F152-8)/8</f>
        <v>0.9375</v>
      </c>
      <c r="I152" s="17">
        <f t="shared" ref="I152:I156" si="102">1+(G152-70)/7/10</f>
        <v>0.442857142857143</v>
      </c>
      <c r="J152" s="33">
        <v>1</v>
      </c>
      <c r="K152" s="17">
        <f t="shared" si="85"/>
        <v>0.415178571428571</v>
      </c>
      <c r="L152" s="17">
        <v>0</v>
      </c>
      <c r="M152" s="11">
        <v>0.8</v>
      </c>
      <c r="N152" s="18">
        <f t="shared" si="86"/>
        <v>5</v>
      </c>
      <c r="O152" s="19">
        <f t="shared" si="87"/>
        <v>1530.34821428571</v>
      </c>
      <c r="P152" s="19">
        <f t="shared" si="88"/>
        <v>624</v>
      </c>
      <c r="Q152" s="19">
        <f t="shared" si="89"/>
        <v>58</v>
      </c>
      <c r="R152" s="19">
        <f t="shared" si="90"/>
        <v>0</v>
      </c>
      <c r="S152" s="19">
        <f t="shared" si="91"/>
        <v>116.25</v>
      </c>
      <c r="T152" s="19">
        <f t="shared" si="92"/>
        <v>250</v>
      </c>
      <c r="U152" s="19">
        <f t="shared" si="93"/>
        <v>116.036919642857</v>
      </c>
      <c r="V152" s="19">
        <f t="shared" si="94"/>
        <v>242.517162053571</v>
      </c>
      <c r="W152" s="19">
        <f t="shared" si="95"/>
        <v>13.2171853319196</v>
      </c>
      <c r="X152" s="19">
        <f t="shared" si="96"/>
        <v>2950.36948131406</v>
      </c>
    </row>
    <row r="153" s="26" customFormat="1" customHeight="1" spans="1:24">
      <c r="A153" s="10">
        <v>149</v>
      </c>
      <c r="B153" s="11" t="s">
        <v>234</v>
      </c>
      <c r="C153" s="11" t="s">
        <v>221</v>
      </c>
      <c r="D153" s="11" t="s">
        <v>235</v>
      </c>
      <c r="E153" s="11" t="s">
        <v>24</v>
      </c>
      <c r="F153" s="11">
        <v>13</v>
      </c>
      <c r="G153" s="13">
        <v>65.5</v>
      </c>
      <c r="H153" s="14">
        <f t="shared" si="101"/>
        <v>1.625</v>
      </c>
      <c r="I153" s="17">
        <f t="shared" si="102"/>
        <v>0.935714285714286</v>
      </c>
      <c r="J153" s="33">
        <v>1</v>
      </c>
      <c r="K153" s="17">
        <f t="shared" si="85"/>
        <v>1.52053571428571</v>
      </c>
      <c r="L153" s="17">
        <f>SQRT(13*13+22.75*22.75)*65.5/2</f>
        <v>858.126559084527</v>
      </c>
      <c r="M153" s="11">
        <v>0.6</v>
      </c>
      <c r="N153" s="18">
        <f t="shared" si="86"/>
        <v>5</v>
      </c>
      <c r="O153" s="19">
        <f t="shared" si="87"/>
        <v>5604.69464285714</v>
      </c>
      <c r="P153" s="19">
        <f t="shared" si="88"/>
        <v>624</v>
      </c>
      <c r="Q153" s="19">
        <f t="shared" si="89"/>
        <v>58</v>
      </c>
      <c r="R153" s="19">
        <f t="shared" si="90"/>
        <v>2926.82941760078</v>
      </c>
      <c r="S153" s="19">
        <f t="shared" si="91"/>
        <v>425.75</v>
      </c>
      <c r="T153" s="19">
        <f t="shared" si="92"/>
        <v>250</v>
      </c>
      <c r="U153" s="19">
        <f t="shared" si="93"/>
        <v>445.017332720606</v>
      </c>
      <c r="V153" s="19">
        <f t="shared" si="94"/>
        <v>930.086225386067</v>
      </c>
      <c r="W153" s="19">
        <f t="shared" si="95"/>
        <v>50.6896992835407</v>
      </c>
      <c r="X153" s="19">
        <f t="shared" si="96"/>
        <v>11315.0673178481</v>
      </c>
    </row>
    <row r="154" s="26" customFormat="1" customHeight="1" spans="1:24">
      <c r="A154" s="10">
        <v>150</v>
      </c>
      <c r="B154" s="11" t="s">
        <v>236</v>
      </c>
      <c r="C154" s="11" t="s">
        <v>221</v>
      </c>
      <c r="D154" s="11" t="s">
        <v>237</v>
      </c>
      <c r="E154" s="11" t="s">
        <v>24</v>
      </c>
      <c r="F154" s="11">
        <v>7.2</v>
      </c>
      <c r="G154" s="13">
        <v>31</v>
      </c>
      <c r="H154" s="14">
        <f t="shared" si="101"/>
        <v>0.9</v>
      </c>
      <c r="I154" s="17">
        <f t="shared" si="102"/>
        <v>0.442857142857143</v>
      </c>
      <c r="J154" s="33">
        <v>1</v>
      </c>
      <c r="K154" s="17">
        <f t="shared" si="85"/>
        <v>0.398571428571429</v>
      </c>
      <c r="L154" s="17">
        <f>SQRT(7.2*7.2+12.6*12.6)*31/2</f>
        <v>224.93699117753</v>
      </c>
      <c r="M154" s="11">
        <v>0.6</v>
      </c>
      <c r="N154" s="18">
        <f t="shared" si="86"/>
        <v>5</v>
      </c>
      <c r="O154" s="19">
        <f t="shared" si="87"/>
        <v>1469.13428571429</v>
      </c>
      <c r="P154" s="19">
        <f t="shared" si="88"/>
        <v>624</v>
      </c>
      <c r="Q154" s="19">
        <f t="shared" si="89"/>
        <v>58</v>
      </c>
      <c r="R154" s="19">
        <f t="shared" si="90"/>
        <v>767.197094549024</v>
      </c>
      <c r="S154" s="19">
        <f t="shared" si="91"/>
        <v>111.6</v>
      </c>
      <c r="T154" s="19">
        <f t="shared" si="92"/>
        <v>250</v>
      </c>
      <c r="U154" s="19">
        <f t="shared" si="93"/>
        <v>147.596912111849</v>
      </c>
      <c r="V154" s="19">
        <f t="shared" si="94"/>
        <v>308.477546313764</v>
      </c>
      <c r="W154" s="19">
        <f t="shared" si="95"/>
        <v>16.8120262741001</v>
      </c>
      <c r="X154" s="19">
        <f t="shared" si="96"/>
        <v>3752.81786496302</v>
      </c>
    </row>
    <row r="155" s="26" customFormat="1" customHeight="1" spans="1:24">
      <c r="A155" s="10">
        <v>151</v>
      </c>
      <c r="B155" s="11" t="s">
        <v>238</v>
      </c>
      <c r="C155" s="11" t="s">
        <v>221</v>
      </c>
      <c r="D155" s="11" t="s">
        <v>239</v>
      </c>
      <c r="E155" s="11" t="s">
        <v>24</v>
      </c>
      <c r="F155" s="11">
        <v>11.6</v>
      </c>
      <c r="G155" s="13">
        <v>35</v>
      </c>
      <c r="H155" s="14">
        <f t="shared" si="101"/>
        <v>1.45</v>
      </c>
      <c r="I155" s="17">
        <f t="shared" si="102"/>
        <v>0.5</v>
      </c>
      <c r="J155" s="33">
        <v>1</v>
      </c>
      <c r="K155" s="17">
        <f t="shared" si="85"/>
        <v>0.725</v>
      </c>
      <c r="L155" s="17">
        <f>SQRT(11.6*11.6+23.2*23.2)*35/2</f>
        <v>453.921799432457</v>
      </c>
      <c r="M155" s="11">
        <v>0.8</v>
      </c>
      <c r="N155" s="18">
        <f t="shared" si="86"/>
        <v>5</v>
      </c>
      <c r="O155" s="19">
        <f t="shared" si="87"/>
        <v>2672.35</v>
      </c>
      <c r="P155" s="19">
        <f t="shared" si="88"/>
        <v>624</v>
      </c>
      <c r="Q155" s="19">
        <f t="shared" si="89"/>
        <v>58</v>
      </c>
      <c r="R155" s="19">
        <f t="shared" si="90"/>
        <v>1548.20015976027</v>
      </c>
      <c r="S155" s="19">
        <f t="shared" si="91"/>
        <v>203</v>
      </c>
      <c r="T155" s="19">
        <f t="shared" si="92"/>
        <v>250</v>
      </c>
      <c r="U155" s="19">
        <f t="shared" si="93"/>
        <v>240.999757189212</v>
      </c>
      <c r="V155" s="19">
        <f t="shared" si="94"/>
        <v>503.689492525453</v>
      </c>
      <c r="W155" s="19">
        <f t="shared" si="95"/>
        <v>27.4510773426372</v>
      </c>
      <c r="X155" s="19">
        <f t="shared" si="96"/>
        <v>6127.69048681757</v>
      </c>
    </row>
    <row r="156" s="26" customFormat="1" customHeight="1" spans="1:24">
      <c r="A156" s="10">
        <v>152</v>
      </c>
      <c r="B156" s="11" t="s">
        <v>240</v>
      </c>
      <c r="C156" s="11" t="s">
        <v>221</v>
      </c>
      <c r="D156" s="11" t="s">
        <v>231</v>
      </c>
      <c r="E156" s="11" t="s">
        <v>24</v>
      </c>
      <c r="F156" s="11">
        <v>6.25</v>
      </c>
      <c r="G156" s="13">
        <v>37.5</v>
      </c>
      <c r="H156" s="14">
        <f t="shared" si="101"/>
        <v>0.78125</v>
      </c>
      <c r="I156" s="17">
        <f t="shared" si="102"/>
        <v>0.535714285714286</v>
      </c>
      <c r="J156" s="33">
        <v>1</v>
      </c>
      <c r="K156" s="17">
        <f t="shared" si="85"/>
        <v>0.418526785714286</v>
      </c>
      <c r="L156" s="17">
        <v>0</v>
      </c>
      <c r="M156" s="11">
        <v>0.63</v>
      </c>
      <c r="N156" s="18">
        <f t="shared" si="86"/>
        <v>5</v>
      </c>
      <c r="O156" s="19">
        <f t="shared" si="87"/>
        <v>1542.68973214286</v>
      </c>
      <c r="P156" s="19">
        <f t="shared" si="88"/>
        <v>624</v>
      </c>
      <c r="Q156" s="19">
        <f t="shared" si="89"/>
        <v>58</v>
      </c>
      <c r="R156" s="19">
        <f t="shared" si="90"/>
        <v>0</v>
      </c>
      <c r="S156" s="19">
        <f t="shared" si="91"/>
        <v>117.1875</v>
      </c>
      <c r="T156" s="19">
        <f t="shared" si="92"/>
        <v>250</v>
      </c>
      <c r="U156" s="19">
        <f t="shared" si="93"/>
        <v>116.634475446429</v>
      </c>
      <c r="V156" s="19">
        <f t="shared" si="94"/>
        <v>243.766053683036</v>
      </c>
      <c r="W156" s="19">
        <f t="shared" si="95"/>
        <v>13.2852499257254</v>
      </c>
      <c r="X156" s="19">
        <f t="shared" si="96"/>
        <v>2965.56301119805</v>
      </c>
    </row>
    <row r="157" s="26" customFormat="1" customHeight="1" spans="1:24">
      <c r="A157" s="10">
        <v>153</v>
      </c>
      <c r="B157" s="11" t="s">
        <v>241</v>
      </c>
      <c r="C157" s="11" t="s">
        <v>221</v>
      </c>
      <c r="D157" s="11" t="s">
        <v>242</v>
      </c>
      <c r="E157" s="11" t="s">
        <v>24</v>
      </c>
      <c r="F157" s="11">
        <v>13.5</v>
      </c>
      <c r="G157" s="13">
        <v>140.8</v>
      </c>
      <c r="H157" s="14">
        <f t="shared" ref="H157:H159" si="103">1+(F157-9)/9</f>
        <v>1.5</v>
      </c>
      <c r="I157" s="17">
        <f t="shared" ref="I157:I159" si="104">1+(G157-80)/8/10</f>
        <v>1.76</v>
      </c>
      <c r="J157" s="33">
        <v>1</v>
      </c>
      <c r="K157" s="17">
        <f t="shared" si="85"/>
        <v>2.64</v>
      </c>
      <c r="L157" s="17">
        <f>SQRT(13.5*13.5+25.65*25.65)*140.8/2</f>
        <v>2040.59533901261</v>
      </c>
      <c r="M157" s="11">
        <v>1.8</v>
      </c>
      <c r="N157" s="18">
        <f t="shared" si="86"/>
        <v>4</v>
      </c>
      <c r="O157" s="19">
        <f t="shared" si="87"/>
        <v>12326.16</v>
      </c>
      <c r="P157" s="19">
        <f t="shared" si="88"/>
        <v>944</v>
      </c>
      <c r="Q157" s="19">
        <f t="shared" si="89"/>
        <v>115</v>
      </c>
      <c r="R157" s="19">
        <f t="shared" si="90"/>
        <v>6959.8993346771</v>
      </c>
      <c r="S157" s="19">
        <f t="shared" si="91"/>
        <v>950.4</v>
      </c>
      <c r="T157" s="19">
        <f t="shared" si="92"/>
        <v>250</v>
      </c>
      <c r="U157" s="19">
        <f t="shared" si="93"/>
        <v>969.54567006047</v>
      </c>
      <c r="V157" s="19">
        <f t="shared" si="94"/>
        <v>2026.35045042638</v>
      </c>
      <c r="W157" s="19">
        <f t="shared" si="95"/>
        <v>110.436099548238</v>
      </c>
      <c r="X157" s="19">
        <f t="shared" si="96"/>
        <v>24651.7915547122</v>
      </c>
    </row>
    <row r="158" s="26" customFormat="1" customHeight="1" spans="1:24">
      <c r="A158" s="10">
        <v>154</v>
      </c>
      <c r="B158" s="11" t="s">
        <v>243</v>
      </c>
      <c r="C158" s="11" t="s">
        <v>221</v>
      </c>
      <c r="D158" s="11" t="s">
        <v>231</v>
      </c>
      <c r="E158" s="11" t="s">
        <v>24</v>
      </c>
      <c r="F158" s="11">
        <v>7.5</v>
      </c>
      <c r="G158" s="13">
        <v>58.2</v>
      </c>
      <c r="H158" s="14">
        <f t="shared" si="103"/>
        <v>0.833333333333333</v>
      </c>
      <c r="I158" s="17">
        <f t="shared" si="104"/>
        <v>0.7275</v>
      </c>
      <c r="J158" s="33">
        <v>1</v>
      </c>
      <c r="K158" s="17">
        <f t="shared" si="85"/>
        <v>0.60625</v>
      </c>
      <c r="L158" s="17">
        <f>SQRT(7.5*7.5+15*15)*58.2/2</f>
        <v>488.021836089329</v>
      </c>
      <c r="M158" s="11">
        <v>1.36</v>
      </c>
      <c r="N158" s="18">
        <f t="shared" si="86"/>
        <v>4</v>
      </c>
      <c r="O158" s="19">
        <f t="shared" si="87"/>
        <v>2830.58125</v>
      </c>
      <c r="P158" s="19">
        <f t="shared" si="88"/>
        <v>944</v>
      </c>
      <c r="Q158" s="19">
        <f t="shared" si="89"/>
        <v>115</v>
      </c>
      <c r="R158" s="19">
        <f t="shared" si="90"/>
        <v>1664.5058367866</v>
      </c>
      <c r="S158" s="19">
        <f t="shared" si="91"/>
        <v>218.25</v>
      </c>
      <c r="T158" s="19">
        <f t="shared" si="92"/>
        <v>250</v>
      </c>
      <c r="U158" s="19">
        <f t="shared" si="93"/>
        <v>271.005168905397</v>
      </c>
      <c r="V158" s="19">
        <f t="shared" si="94"/>
        <v>566.400803012279</v>
      </c>
      <c r="W158" s="19">
        <f t="shared" si="95"/>
        <v>30.8688437641692</v>
      </c>
      <c r="X158" s="19">
        <f t="shared" si="96"/>
        <v>6890.61190246844</v>
      </c>
    </row>
    <row r="159" s="26" customFormat="1" customHeight="1" spans="1:24">
      <c r="A159" s="10">
        <v>155</v>
      </c>
      <c r="B159" s="11" t="s">
        <v>244</v>
      </c>
      <c r="C159" s="11" t="s">
        <v>221</v>
      </c>
      <c r="D159" s="11" t="s">
        <v>231</v>
      </c>
      <c r="E159" s="11" t="s">
        <v>24</v>
      </c>
      <c r="F159" s="11">
        <v>7.4</v>
      </c>
      <c r="G159" s="13">
        <v>40</v>
      </c>
      <c r="H159" s="14">
        <f t="shared" si="103"/>
        <v>0.822222222222222</v>
      </c>
      <c r="I159" s="17">
        <f t="shared" si="104"/>
        <v>0.5</v>
      </c>
      <c r="J159" s="33">
        <v>1</v>
      </c>
      <c r="K159" s="17">
        <f t="shared" si="85"/>
        <v>0.411111111111111</v>
      </c>
      <c r="L159" s="17">
        <f>SQRT(7.4*7.4+12.95*12.95)*40</f>
        <v>596.607073374093</v>
      </c>
      <c r="M159" s="11">
        <v>0.85</v>
      </c>
      <c r="N159" s="18">
        <f t="shared" si="86"/>
        <v>5</v>
      </c>
      <c r="O159" s="19">
        <f t="shared" si="87"/>
        <v>1515.35555555556</v>
      </c>
      <c r="P159" s="19">
        <f t="shared" si="88"/>
        <v>624</v>
      </c>
      <c r="Q159" s="19">
        <f t="shared" si="89"/>
        <v>58</v>
      </c>
      <c r="R159" s="19">
        <f t="shared" si="90"/>
        <v>2034.85967729848</v>
      </c>
      <c r="S159" s="19">
        <f t="shared" si="91"/>
        <v>148</v>
      </c>
      <c r="T159" s="19">
        <f t="shared" si="92"/>
        <v>250</v>
      </c>
      <c r="U159" s="19">
        <f t="shared" si="93"/>
        <v>208.359685478432</v>
      </c>
      <c r="V159" s="19">
        <f t="shared" si="94"/>
        <v>435.471742649922</v>
      </c>
      <c r="W159" s="19">
        <f t="shared" si="95"/>
        <v>23.7332099744208</v>
      </c>
      <c r="X159" s="19">
        <f t="shared" si="96"/>
        <v>5297.77987095682</v>
      </c>
    </row>
    <row r="160" s="26" customFormat="1" customHeight="1" spans="1:24">
      <c r="A160" s="10">
        <v>156</v>
      </c>
      <c r="B160" s="11" t="s">
        <v>245</v>
      </c>
      <c r="C160" s="11" t="s">
        <v>221</v>
      </c>
      <c r="D160" s="11" t="s">
        <v>231</v>
      </c>
      <c r="E160" s="11" t="s">
        <v>24</v>
      </c>
      <c r="F160" s="11">
        <v>9.73</v>
      </c>
      <c r="G160" s="13">
        <v>45.16</v>
      </c>
      <c r="H160" s="14">
        <f t="shared" ref="H160:H168" si="105">1+(F160-8)/8</f>
        <v>1.21625</v>
      </c>
      <c r="I160" s="17">
        <f t="shared" ref="I160:I168" si="106">1+(G160-70)/7/10</f>
        <v>0.645142857142857</v>
      </c>
      <c r="J160" s="33">
        <v>1</v>
      </c>
      <c r="K160" s="17">
        <f t="shared" si="85"/>
        <v>0.784655</v>
      </c>
      <c r="L160" s="17">
        <f>SQRT(10.32*10.32+20.12*20.12)*45.16/2</f>
        <v>510.586077862998</v>
      </c>
      <c r="M160" s="11">
        <v>0.85</v>
      </c>
      <c r="N160" s="18">
        <f t="shared" si="86"/>
        <v>5</v>
      </c>
      <c r="O160" s="19">
        <f t="shared" si="87"/>
        <v>2892.23833</v>
      </c>
      <c r="P160" s="19">
        <f t="shared" si="88"/>
        <v>624</v>
      </c>
      <c r="Q160" s="19">
        <f t="shared" si="89"/>
        <v>58</v>
      </c>
      <c r="R160" s="19">
        <f t="shared" si="90"/>
        <v>1741.46614748889</v>
      </c>
      <c r="S160" s="19">
        <f t="shared" si="91"/>
        <v>219.7034</v>
      </c>
      <c r="T160" s="19">
        <f t="shared" si="92"/>
        <v>250</v>
      </c>
      <c r="U160" s="19">
        <f t="shared" si="93"/>
        <v>260.343354487</v>
      </c>
      <c r="V160" s="19">
        <f t="shared" si="94"/>
        <v>544.11761087783</v>
      </c>
      <c r="W160" s="19">
        <f t="shared" si="95"/>
        <v>29.6544097928417</v>
      </c>
      <c r="X160" s="19">
        <f t="shared" si="96"/>
        <v>6619.52325264656</v>
      </c>
    </row>
    <row r="161" s="26" customFormat="1" customHeight="1" spans="1:24">
      <c r="A161" s="10">
        <v>157</v>
      </c>
      <c r="B161" s="11" t="s">
        <v>246</v>
      </c>
      <c r="C161" s="11" t="s">
        <v>221</v>
      </c>
      <c r="D161" s="11" t="s">
        <v>222</v>
      </c>
      <c r="E161" s="11" t="s">
        <v>24</v>
      </c>
      <c r="F161" s="11">
        <v>14.3</v>
      </c>
      <c r="G161" s="13">
        <v>34.65</v>
      </c>
      <c r="H161" s="14">
        <f>1+(F161-9)/9</f>
        <v>1.58888888888889</v>
      </c>
      <c r="I161" s="17">
        <f>1+(G161-80)/8/10</f>
        <v>0.433125</v>
      </c>
      <c r="J161" s="33">
        <v>1</v>
      </c>
      <c r="K161" s="17">
        <f t="shared" si="85"/>
        <v>0.6881875</v>
      </c>
      <c r="L161" s="17">
        <v>0</v>
      </c>
      <c r="M161" s="11">
        <v>1.2</v>
      </c>
      <c r="N161" s="18">
        <f t="shared" si="86"/>
        <v>4</v>
      </c>
      <c r="O161" s="19">
        <f t="shared" si="87"/>
        <v>3213.1474375</v>
      </c>
      <c r="P161" s="19">
        <f t="shared" si="88"/>
        <v>944</v>
      </c>
      <c r="Q161" s="19">
        <f t="shared" si="89"/>
        <v>115</v>
      </c>
      <c r="R161" s="19">
        <f t="shared" si="90"/>
        <v>0</v>
      </c>
      <c r="S161" s="19">
        <f t="shared" si="91"/>
        <v>247.7475</v>
      </c>
      <c r="T161" s="19">
        <f t="shared" si="92"/>
        <v>250</v>
      </c>
      <c r="U161" s="19">
        <f t="shared" si="93"/>
        <v>214.6452721875</v>
      </c>
      <c r="V161" s="19">
        <f t="shared" si="94"/>
        <v>448.608618871875</v>
      </c>
      <c r="W161" s="19">
        <f t="shared" si="95"/>
        <v>24.4491697285172</v>
      </c>
      <c r="X161" s="19">
        <f t="shared" si="96"/>
        <v>5457.59799828789</v>
      </c>
    </row>
    <row r="162" s="26" customFormat="1" customHeight="1" spans="1:24">
      <c r="A162" s="10">
        <v>158</v>
      </c>
      <c r="B162" s="32" t="s">
        <v>247</v>
      </c>
      <c r="C162" s="11" t="s">
        <v>221</v>
      </c>
      <c r="D162" s="11" t="s">
        <v>235</v>
      </c>
      <c r="E162" s="11" t="s">
        <v>24</v>
      </c>
      <c r="F162" s="11">
        <v>8.14</v>
      </c>
      <c r="G162" s="13">
        <v>37</v>
      </c>
      <c r="H162" s="14">
        <f t="shared" si="105"/>
        <v>1.0175</v>
      </c>
      <c r="I162" s="17">
        <f t="shared" si="106"/>
        <v>0.528571428571429</v>
      </c>
      <c r="J162" s="33">
        <v>1</v>
      </c>
      <c r="K162" s="17">
        <f t="shared" si="85"/>
        <v>0.537821428571429</v>
      </c>
      <c r="L162" s="17">
        <v>0</v>
      </c>
      <c r="M162" s="11">
        <v>0.25</v>
      </c>
      <c r="N162" s="18">
        <f t="shared" si="86"/>
        <v>5</v>
      </c>
      <c r="O162" s="19">
        <f t="shared" si="87"/>
        <v>1982.40978571429</v>
      </c>
      <c r="P162" s="19">
        <f t="shared" si="88"/>
        <v>624</v>
      </c>
      <c r="Q162" s="19">
        <f t="shared" si="89"/>
        <v>58</v>
      </c>
      <c r="R162" s="19">
        <f t="shared" si="90"/>
        <v>0</v>
      </c>
      <c r="S162" s="19">
        <f t="shared" si="91"/>
        <v>150.59</v>
      </c>
      <c r="T162" s="19">
        <f t="shared" si="92"/>
        <v>250</v>
      </c>
      <c r="U162" s="19">
        <f t="shared" si="93"/>
        <v>137.924990357143</v>
      </c>
      <c r="V162" s="19">
        <f t="shared" si="94"/>
        <v>288.263229846429</v>
      </c>
      <c r="W162" s="19">
        <f t="shared" si="95"/>
        <v>15.7103460266304</v>
      </c>
      <c r="X162" s="19">
        <f t="shared" si="96"/>
        <v>3506.89835194449</v>
      </c>
    </row>
    <row r="163" s="26" customFormat="1" customHeight="1" spans="1:24">
      <c r="A163" s="10">
        <v>159</v>
      </c>
      <c r="B163" s="11" t="s">
        <v>248</v>
      </c>
      <c r="C163" s="11" t="s">
        <v>221</v>
      </c>
      <c r="D163" s="11" t="s">
        <v>231</v>
      </c>
      <c r="E163" s="11" t="s">
        <v>24</v>
      </c>
      <c r="F163" s="11">
        <v>9.8</v>
      </c>
      <c r="G163" s="13">
        <v>35.19</v>
      </c>
      <c r="H163" s="14">
        <f t="shared" si="105"/>
        <v>1.225</v>
      </c>
      <c r="I163" s="17">
        <f t="shared" si="106"/>
        <v>0.502714285714286</v>
      </c>
      <c r="J163" s="33">
        <v>1</v>
      </c>
      <c r="K163" s="17">
        <f t="shared" si="85"/>
        <v>0.615825</v>
      </c>
      <c r="L163" s="17">
        <f>SQRT(9.8*9.8+17.15*17.15)*35.19</f>
        <v>695.091582898434</v>
      </c>
      <c r="M163" s="11">
        <v>0.65</v>
      </c>
      <c r="N163" s="18">
        <f t="shared" si="86"/>
        <v>5</v>
      </c>
      <c r="O163" s="19">
        <f t="shared" si="87"/>
        <v>2269.93095</v>
      </c>
      <c r="P163" s="19">
        <f t="shared" si="88"/>
        <v>624</v>
      </c>
      <c r="Q163" s="19">
        <f t="shared" si="89"/>
        <v>58</v>
      </c>
      <c r="R163" s="19">
        <f t="shared" si="90"/>
        <v>2370.76276362335</v>
      </c>
      <c r="S163" s="19">
        <f t="shared" si="91"/>
        <v>172.431</v>
      </c>
      <c r="T163" s="19">
        <f t="shared" si="92"/>
        <v>250</v>
      </c>
      <c r="U163" s="19">
        <f t="shared" si="93"/>
        <v>258.53061211305</v>
      </c>
      <c r="V163" s="19">
        <f t="shared" si="94"/>
        <v>540.328979316276</v>
      </c>
      <c r="W163" s="19">
        <f t="shared" si="95"/>
        <v>29.447929372737</v>
      </c>
      <c r="X163" s="19">
        <f t="shared" si="96"/>
        <v>6573.43223442541</v>
      </c>
    </row>
    <row r="164" s="26" customFormat="1" customHeight="1" spans="1:24">
      <c r="A164" s="10">
        <v>160</v>
      </c>
      <c r="B164" s="11" t="s">
        <v>249</v>
      </c>
      <c r="C164" s="11" t="s">
        <v>221</v>
      </c>
      <c r="D164" s="11" t="s">
        <v>222</v>
      </c>
      <c r="E164" s="11" t="s">
        <v>24</v>
      </c>
      <c r="F164" s="11">
        <v>6.51</v>
      </c>
      <c r="G164" s="13">
        <v>18.8</v>
      </c>
      <c r="H164" s="14">
        <f t="shared" si="105"/>
        <v>0.81375</v>
      </c>
      <c r="I164" s="17">
        <f t="shared" si="106"/>
        <v>0.268571428571428</v>
      </c>
      <c r="J164" s="33">
        <v>1</v>
      </c>
      <c r="K164" s="17">
        <f t="shared" si="85"/>
        <v>0.21855</v>
      </c>
      <c r="L164" s="17">
        <f>SQRT(6.51*6.51+13.22*13.22)*18.8</f>
        <v>277.036037078211</v>
      </c>
      <c r="M164" s="11">
        <v>0.23</v>
      </c>
      <c r="N164" s="18">
        <f t="shared" si="86"/>
        <v>5</v>
      </c>
      <c r="O164" s="19">
        <f t="shared" si="87"/>
        <v>805.5753</v>
      </c>
      <c r="P164" s="19">
        <f t="shared" si="88"/>
        <v>624</v>
      </c>
      <c r="Q164" s="19">
        <f t="shared" si="89"/>
        <v>58</v>
      </c>
      <c r="R164" s="19">
        <f t="shared" si="90"/>
        <v>944.892352383397</v>
      </c>
      <c r="S164" s="19">
        <f t="shared" si="91"/>
        <v>61.194</v>
      </c>
      <c r="T164" s="19">
        <f t="shared" si="92"/>
        <v>250</v>
      </c>
      <c r="U164" s="19">
        <f t="shared" si="93"/>
        <v>123.464774357253</v>
      </c>
      <c r="V164" s="19">
        <f t="shared" si="94"/>
        <v>258.041378406658</v>
      </c>
      <c r="W164" s="19">
        <f t="shared" si="95"/>
        <v>14.0632551231629</v>
      </c>
      <c r="X164" s="19">
        <f t="shared" si="96"/>
        <v>3139.23106027047</v>
      </c>
    </row>
    <row r="165" s="26" customFormat="1" customHeight="1" spans="1:24">
      <c r="A165" s="10">
        <v>161</v>
      </c>
      <c r="B165" s="32" t="s">
        <v>250</v>
      </c>
      <c r="C165" s="11" t="s">
        <v>221</v>
      </c>
      <c r="D165" s="11" t="s">
        <v>233</v>
      </c>
      <c r="E165" s="11" t="s">
        <v>159</v>
      </c>
      <c r="F165" s="11">
        <v>12.44</v>
      </c>
      <c r="G165" s="13">
        <v>25.33</v>
      </c>
      <c r="H165" s="14">
        <f t="shared" si="105"/>
        <v>1.555</v>
      </c>
      <c r="I165" s="17">
        <f t="shared" si="106"/>
        <v>0.361857142857143</v>
      </c>
      <c r="J165" s="33">
        <v>1</v>
      </c>
      <c r="K165" s="17">
        <f t="shared" si="85"/>
        <v>0.562687857142857</v>
      </c>
      <c r="L165" s="17">
        <v>0</v>
      </c>
      <c r="M165" s="11">
        <v>0.47</v>
      </c>
      <c r="N165" s="18">
        <f t="shared" si="86"/>
        <v>5</v>
      </c>
      <c r="O165" s="19">
        <f t="shared" si="87"/>
        <v>2074.06744142857</v>
      </c>
      <c r="P165" s="19">
        <f t="shared" si="88"/>
        <v>624</v>
      </c>
      <c r="Q165" s="19">
        <f t="shared" si="89"/>
        <v>58</v>
      </c>
      <c r="R165" s="19">
        <f t="shared" si="90"/>
        <v>0</v>
      </c>
      <c r="S165" s="19">
        <f t="shared" si="91"/>
        <v>157.5526</v>
      </c>
      <c r="T165" s="19">
        <f t="shared" si="92"/>
        <v>250</v>
      </c>
      <c r="U165" s="19">
        <f t="shared" si="93"/>
        <v>142.362901864286</v>
      </c>
      <c r="V165" s="19">
        <f t="shared" si="94"/>
        <v>297.538464896357</v>
      </c>
      <c r="W165" s="19">
        <f t="shared" si="95"/>
        <v>16.2158463368515</v>
      </c>
      <c r="X165" s="19">
        <f t="shared" si="96"/>
        <v>3619.73725452607</v>
      </c>
    </row>
    <row r="166" s="26" customFormat="1" customHeight="1" spans="1:24">
      <c r="A166" s="10">
        <v>162</v>
      </c>
      <c r="B166" s="11" t="s">
        <v>251</v>
      </c>
      <c r="C166" s="11" t="s">
        <v>221</v>
      </c>
      <c r="D166" s="11" t="s">
        <v>237</v>
      </c>
      <c r="E166" s="11" t="s">
        <v>24</v>
      </c>
      <c r="F166" s="11">
        <v>8.38</v>
      </c>
      <c r="G166" s="13">
        <v>62.5</v>
      </c>
      <c r="H166" s="14">
        <f t="shared" si="105"/>
        <v>1.0475</v>
      </c>
      <c r="I166" s="17">
        <f t="shared" si="106"/>
        <v>0.892857142857143</v>
      </c>
      <c r="J166" s="33">
        <v>1</v>
      </c>
      <c r="K166" s="17">
        <f t="shared" si="85"/>
        <v>0.935267857142857</v>
      </c>
      <c r="L166" s="17">
        <v>0</v>
      </c>
      <c r="M166" s="11">
        <v>0.65</v>
      </c>
      <c r="N166" s="18">
        <f t="shared" si="86"/>
        <v>5</v>
      </c>
      <c r="O166" s="19">
        <f t="shared" si="87"/>
        <v>3447.39732142857</v>
      </c>
      <c r="P166" s="19">
        <f t="shared" si="88"/>
        <v>624</v>
      </c>
      <c r="Q166" s="19">
        <f t="shared" si="89"/>
        <v>58</v>
      </c>
      <c r="R166" s="19">
        <f t="shared" si="90"/>
        <v>0</v>
      </c>
      <c r="S166" s="19">
        <f t="shared" si="91"/>
        <v>261.875</v>
      </c>
      <c r="T166" s="19">
        <f t="shared" si="92"/>
        <v>250</v>
      </c>
      <c r="U166" s="19">
        <f t="shared" si="93"/>
        <v>208.857254464286</v>
      </c>
      <c r="V166" s="19">
        <f t="shared" si="94"/>
        <v>436.511661830357</v>
      </c>
      <c r="W166" s="19">
        <f t="shared" si="95"/>
        <v>23.7898855697545</v>
      </c>
      <c r="X166" s="19">
        <f t="shared" si="96"/>
        <v>5310.43112329297</v>
      </c>
    </row>
    <row r="167" s="26" customFormat="1" customHeight="1" spans="1:24">
      <c r="A167" s="10">
        <v>163</v>
      </c>
      <c r="B167" s="32" t="s">
        <v>252</v>
      </c>
      <c r="C167" s="11" t="s">
        <v>221</v>
      </c>
      <c r="D167" s="11" t="s">
        <v>253</v>
      </c>
      <c r="E167" s="11" t="s">
        <v>159</v>
      </c>
      <c r="F167" s="11">
        <v>7.82</v>
      </c>
      <c r="G167" s="13">
        <v>22</v>
      </c>
      <c r="H167" s="14">
        <f t="shared" si="105"/>
        <v>0.9775</v>
      </c>
      <c r="I167" s="17">
        <f t="shared" si="106"/>
        <v>0.314285714285714</v>
      </c>
      <c r="J167" s="33">
        <v>1</v>
      </c>
      <c r="K167" s="17">
        <f t="shared" si="85"/>
        <v>0.307214285714286</v>
      </c>
      <c r="L167" s="17">
        <v>0</v>
      </c>
      <c r="M167" s="11">
        <v>0.47</v>
      </c>
      <c r="N167" s="18">
        <f t="shared" si="86"/>
        <v>5</v>
      </c>
      <c r="O167" s="19">
        <f t="shared" si="87"/>
        <v>1132.39185714286</v>
      </c>
      <c r="P167" s="19">
        <f t="shared" si="88"/>
        <v>624</v>
      </c>
      <c r="Q167" s="19">
        <f t="shared" si="89"/>
        <v>58</v>
      </c>
      <c r="R167" s="19">
        <f t="shared" si="90"/>
        <v>0</v>
      </c>
      <c r="S167" s="19">
        <f t="shared" si="91"/>
        <v>86.02</v>
      </c>
      <c r="T167" s="19">
        <f t="shared" si="92"/>
        <v>250</v>
      </c>
      <c r="U167" s="19">
        <f t="shared" si="93"/>
        <v>96.7685335714286</v>
      </c>
      <c r="V167" s="19">
        <f t="shared" si="94"/>
        <v>202.246235164286</v>
      </c>
      <c r="W167" s="19">
        <f t="shared" si="95"/>
        <v>11.0224198164536</v>
      </c>
      <c r="X167" s="19">
        <f t="shared" si="96"/>
        <v>2460.44904569503</v>
      </c>
    </row>
    <row r="168" s="26" customFormat="1" ht="12" spans="1:24">
      <c r="A168" s="10">
        <v>164</v>
      </c>
      <c r="B168" s="32" t="s">
        <v>254</v>
      </c>
      <c r="C168" s="11" t="s">
        <v>221</v>
      </c>
      <c r="D168" s="11" t="s">
        <v>226</v>
      </c>
      <c r="E168" s="11" t="s">
        <v>24</v>
      </c>
      <c r="F168" s="11">
        <v>6.9</v>
      </c>
      <c r="G168" s="13">
        <v>46.5</v>
      </c>
      <c r="H168" s="14">
        <f t="shared" si="105"/>
        <v>0.8625</v>
      </c>
      <c r="I168" s="17">
        <f t="shared" si="106"/>
        <v>0.664285714285714</v>
      </c>
      <c r="J168" s="33">
        <v>1</v>
      </c>
      <c r="K168" s="17">
        <f t="shared" si="85"/>
        <v>0.572946428571429</v>
      </c>
      <c r="L168" s="17">
        <v>0</v>
      </c>
      <c r="M168" s="11">
        <v>0.31</v>
      </c>
      <c r="N168" s="18">
        <f t="shared" si="86"/>
        <v>5</v>
      </c>
      <c r="O168" s="19">
        <f t="shared" si="87"/>
        <v>2111.88053571429</v>
      </c>
      <c r="P168" s="19">
        <f t="shared" si="88"/>
        <v>624</v>
      </c>
      <c r="Q168" s="19">
        <f t="shared" si="89"/>
        <v>58</v>
      </c>
      <c r="R168" s="19">
        <f t="shared" si="90"/>
        <v>0</v>
      </c>
      <c r="S168" s="19">
        <f t="shared" si="91"/>
        <v>160.425</v>
      </c>
      <c r="T168" s="19">
        <f t="shared" si="92"/>
        <v>250</v>
      </c>
      <c r="U168" s="19">
        <f t="shared" si="93"/>
        <v>144.193749107143</v>
      </c>
      <c r="V168" s="19">
        <f t="shared" si="94"/>
        <v>301.364935633929</v>
      </c>
      <c r="W168" s="19">
        <f t="shared" si="95"/>
        <v>16.4243889920491</v>
      </c>
      <c r="X168" s="19">
        <f t="shared" si="96"/>
        <v>3666.28860944741</v>
      </c>
    </row>
    <row r="169" s="26" customFormat="1" customHeight="1" spans="1:24">
      <c r="A169" s="10">
        <v>165</v>
      </c>
      <c r="B169" s="11" t="s">
        <v>255</v>
      </c>
      <c r="C169" s="11" t="s">
        <v>221</v>
      </c>
      <c r="D169" s="11" t="s">
        <v>233</v>
      </c>
      <c r="E169" s="11" t="s">
        <v>24</v>
      </c>
      <c r="F169" s="11">
        <v>6.4</v>
      </c>
      <c r="G169" s="13">
        <v>38.1</v>
      </c>
      <c r="H169" s="14">
        <f t="shared" ref="H169:H172" si="107">1+(F169-9)/9</f>
        <v>0.711111111111111</v>
      </c>
      <c r="I169" s="17">
        <f t="shared" ref="I169:I172" si="108">1+(G169-80)/8/10</f>
        <v>0.47625</v>
      </c>
      <c r="J169" s="33">
        <v>1</v>
      </c>
      <c r="K169" s="17">
        <f t="shared" si="85"/>
        <v>0.338666666666667</v>
      </c>
      <c r="L169" s="17">
        <v>0</v>
      </c>
      <c r="M169" s="11">
        <v>0.8</v>
      </c>
      <c r="N169" s="18">
        <f t="shared" si="86"/>
        <v>5</v>
      </c>
      <c r="O169" s="19">
        <f t="shared" si="87"/>
        <v>1248.32533333333</v>
      </c>
      <c r="P169" s="19">
        <f t="shared" si="88"/>
        <v>624</v>
      </c>
      <c r="Q169" s="19">
        <f t="shared" si="89"/>
        <v>58</v>
      </c>
      <c r="R169" s="19">
        <f t="shared" si="90"/>
        <v>0</v>
      </c>
      <c r="S169" s="19">
        <f t="shared" si="91"/>
        <v>121.92</v>
      </c>
      <c r="T169" s="19">
        <f t="shared" si="92"/>
        <v>250</v>
      </c>
      <c r="U169" s="19">
        <f t="shared" si="93"/>
        <v>103.60104</v>
      </c>
      <c r="V169" s="19">
        <f t="shared" si="94"/>
        <v>216.5261736</v>
      </c>
      <c r="W169" s="19">
        <f t="shared" si="95"/>
        <v>11.8006764612</v>
      </c>
      <c r="X169" s="19">
        <f t="shared" si="96"/>
        <v>2634.17322339453</v>
      </c>
    </row>
    <row r="170" s="26" customFormat="1" customHeight="1" spans="1:24">
      <c r="A170" s="10">
        <v>166</v>
      </c>
      <c r="B170" s="11" t="s">
        <v>256</v>
      </c>
      <c r="C170" s="11" t="s">
        <v>221</v>
      </c>
      <c r="D170" s="11" t="s">
        <v>231</v>
      </c>
      <c r="E170" s="11" t="s">
        <v>24</v>
      </c>
      <c r="F170" s="11">
        <v>7.7</v>
      </c>
      <c r="G170" s="13">
        <v>39.05</v>
      </c>
      <c r="H170" s="14">
        <f t="shared" si="107"/>
        <v>0.855555555555556</v>
      </c>
      <c r="I170" s="17">
        <f t="shared" si="108"/>
        <v>0.488125</v>
      </c>
      <c r="J170" s="34">
        <v>1.1</v>
      </c>
      <c r="K170" s="17">
        <f t="shared" si="85"/>
        <v>0.459379861111111</v>
      </c>
      <c r="L170" s="17">
        <f>SQRT(7.7*7.7+13.48*13.48)*39.05/2</f>
        <v>303.109762487535</v>
      </c>
      <c r="M170" s="11">
        <v>0.8</v>
      </c>
      <c r="N170" s="18">
        <f t="shared" si="86"/>
        <v>5</v>
      </c>
      <c r="O170" s="19">
        <f t="shared" si="87"/>
        <v>1693.27416805556</v>
      </c>
      <c r="P170" s="19">
        <f t="shared" si="88"/>
        <v>686.4</v>
      </c>
      <c r="Q170" s="19">
        <f t="shared" si="89"/>
        <v>58</v>
      </c>
      <c r="R170" s="19">
        <f t="shared" si="90"/>
        <v>1033.82252911149</v>
      </c>
      <c r="S170" s="19">
        <f t="shared" si="91"/>
        <v>150.3425</v>
      </c>
      <c r="T170" s="19">
        <f t="shared" si="92"/>
        <v>250</v>
      </c>
      <c r="U170" s="19">
        <f t="shared" si="93"/>
        <v>174.232763872517</v>
      </c>
      <c r="V170" s="19">
        <f t="shared" si="94"/>
        <v>364.14647649356</v>
      </c>
      <c r="W170" s="19">
        <f t="shared" si="95"/>
        <v>19.845982968899</v>
      </c>
      <c r="X170" s="19">
        <f t="shared" si="96"/>
        <v>4430.06442050202</v>
      </c>
    </row>
    <row r="171" s="26" customFormat="1" customHeight="1" spans="1:24">
      <c r="A171" s="10">
        <v>167</v>
      </c>
      <c r="B171" s="11" t="s">
        <v>257</v>
      </c>
      <c r="C171" s="11" t="s">
        <v>258</v>
      </c>
      <c r="D171" s="11" t="s">
        <v>259</v>
      </c>
      <c r="E171" s="11" t="s">
        <v>24</v>
      </c>
      <c r="F171" s="11">
        <v>12.7</v>
      </c>
      <c r="G171" s="13">
        <v>38.5</v>
      </c>
      <c r="H171" s="14">
        <f>1+(F171-11)/11</f>
        <v>1.15454545454545</v>
      </c>
      <c r="I171" s="17">
        <f>1+(G171-100)/10/10</f>
        <v>0.385</v>
      </c>
      <c r="J171" s="33">
        <v>1</v>
      </c>
      <c r="K171" s="17">
        <f t="shared" si="85"/>
        <v>0.4445</v>
      </c>
      <c r="L171" s="17">
        <f>SQRT(12.7*12.7+22.23*22.23)*38.5/2</f>
        <v>492.838686469772</v>
      </c>
      <c r="M171" s="11">
        <v>4.5</v>
      </c>
      <c r="N171" s="18">
        <f t="shared" si="86"/>
        <v>3</v>
      </c>
      <c r="O171" s="19">
        <f t="shared" si="87"/>
        <v>2692.3365</v>
      </c>
      <c r="P171" s="19">
        <f t="shared" si="88"/>
        <v>1482</v>
      </c>
      <c r="Q171" s="19">
        <f t="shared" si="89"/>
        <v>173</v>
      </c>
      <c r="R171" s="19">
        <f t="shared" si="90"/>
        <v>1680.93476471618</v>
      </c>
      <c r="S171" s="19">
        <f t="shared" si="91"/>
        <v>244.475</v>
      </c>
      <c r="T171" s="19">
        <f t="shared" si="92"/>
        <v>250</v>
      </c>
      <c r="U171" s="19">
        <f t="shared" si="93"/>
        <v>293.523581912228</v>
      </c>
      <c r="V171" s="19">
        <f t="shared" si="94"/>
        <v>613.464286196557</v>
      </c>
      <c r="W171" s="19">
        <f t="shared" si="95"/>
        <v>33.4338035977123</v>
      </c>
      <c r="X171" s="19">
        <f t="shared" si="96"/>
        <v>7463.16793642268</v>
      </c>
    </row>
    <row r="172" s="26" customFormat="1" customHeight="1" spans="1:24">
      <c r="A172" s="10">
        <v>168</v>
      </c>
      <c r="B172" s="11" t="s">
        <v>260</v>
      </c>
      <c r="C172" s="11" t="s">
        <v>258</v>
      </c>
      <c r="D172" s="11" t="s">
        <v>259</v>
      </c>
      <c r="E172" s="11" t="s">
        <v>159</v>
      </c>
      <c r="F172" s="11">
        <v>14.5</v>
      </c>
      <c r="G172" s="13">
        <v>54.85</v>
      </c>
      <c r="H172" s="14">
        <f t="shared" si="107"/>
        <v>1.61111111111111</v>
      </c>
      <c r="I172" s="17">
        <f t="shared" si="108"/>
        <v>0.685625</v>
      </c>
      <c r="J172" s="33">
        <v>1</v>
      </c>
      <c r="K172" s="17">
        <f t="shared" si="85"/>
        <v>1.10461805555556</v>
      </c>
      <c r="L172" s="17">
        <v>0</v>
      </c>
      <c r="M172" s="11">
        <v>2.74</v>
      </c>
      <c r="N172" s="18">
        <f t="shared" si="86"/>
        <v>4</v>
      </c>
      <c r="O172" s="19">
        <f t="shared" si="87"/>
        <v>5157.46170138889</v>
      </c>
      <c r="P172" s="19">
        <f t="shared" si="88"/>
        <v>944</v>
      </c>
      <c r="Q172" s="19">
        <f t="shared" si="89"/>
        <v>115</v>
      </c>
      <c r="R172" s="19">
        <f t="shared" si="90"/>
        <v>0</v>
      </c>
      <c r="S172" s="19">
        <f t="shared" si="91"/>
        <v>397.6625</v>
      </c>
      <c r="T172" s="19">
        <f t="shared" si="92"/>
        <v>250</v>
      </c>
      <c r="U172" s="19">
        <f t="shared" si="93"/>
        <v>308.8855890625</v>
      </c>
      <c r="V172" s="19">
        <f t="shared" si="94"/>
        <v>645.570881140625</v>
      </c>
      <c r="W172" s="19">
        <f t="shared" si="95"/>
        <v>35.1836130221641</v>
      </c>
      <c r="X172" s="19">
        <f t="shared" si="96"/>
        <v>7853.76428461418</v>
      </c>
    </row>
    <row r="173" s="26" customFormat="1" customHeight="1" spans="1:24">
      <c r="A173" s="10">
        <v>169</v>
      </c>
      <c r="B173" s="11" t="s">
        <v>261</v>
      </c>
      <c r="C173" s="11" t="s">
        <v>258</v>
      </c>
      <c r="D173" s="11" t="s">
        <v>262</v>
      </c>
      <c r="E173" s="11" t="s">
        <v>24</v>
      </c>
      <c r="F173" s="11">
        <v>11</v>
      </c>
      <c r="G173" s="13">
        <v>42</v>
      </c>
      <c r="H173" s="14">
        <f>1+(F173-10)/10</f>
        <v>1.1</v>
      </c>
      <c r="I173" s="17">
        <f>1+(G173-90)/9/10</f>
        <v>0.466666666666667</v>
      </c>
      <c r="J173" s="33">
        <v>1</v>
      </c>
      <c r="K173" s="17">
        <f t="shared" si="85"/>
        <v>0.513333333333333</v>
      </c>
      <c r="L173" s="17">
        <f>SQRT(11*11+24.75*24.75)*42/2</f>
        <v>568.771538053725</v>
      </c>
      <c r="M173" s="11">
        <v>4.7</v>
      </c>
      <c r="N173" s="18">
        <f t="shared" si="86"/>
        <v>3</v>
      </c>
      <c r="O173" s="19">
        <f t="shared" si="87"/>
        <v>3109.26</v>
      </c>
      <c r="P173" s="19">
        <f t="shared" si="88"/>
        <v>1482</v>
      </c>
      <c r="Q173" s="19">
        <f t="shared" si="89"/>
        <v>173</v>
      </c>
      <c r="R173" s="19">
        <f t="shared" si="90"/>
        <v>1939.9204602706</v>
      </c>
      <c r="S173" s="19">
        <f t="shared" si="91"/>
        <v>231</v>
      </c>
      <c r="T173" s="19">
        <f t="shared" si="92"/>
        <v>250</v>
      </c>
      <c r="U173" s="19">
        <f t="shared" si="93"/>
        <v>323.333120712177</v>
      </c>
      <c r="V173" s="19">
        <f t="shared" si="94"/>
        <v>675.76622228845</v>
      </c>
      <c r="W173" s="19">
        <f t="shared" si="95"/>
        <v>36.8292591147205</v>
      </c>
      <c r="X173" s="19">
        <f t="shared" si="96"/>
        <v>8221.10906238595</v>
      </c>
    </row>
    <row r="174" s="26" customFormat="1" customHeight="1" spans="1:24">
      <c r="A174" s="10">
        <v>170</v>
      </c>
      <c r="B174" s="11" t="s">
        <v>263</v>
      </c>
      <c r="C174" s="11" t="s">
        <v>258</v>
      </c>
      <c r="D174" s="11" t="s">
        <v>264</v>
      </c>
      <c r="E174" s="11" t="s">
        <v>24</v>
      </c>
      <c r="F174" s="11">
        <v>9.2</v>
      </c>
      <c r="G174" s="13">
        <v>51</v>
      </c>
      <c r="H174" s="14">
        <f>1+(F174-9)/9</f>
        <v>1.02222222222222</v>
      </c>
      <c r="I174" s="17">
        <f>1+(G174-80)/8/10</f>
        <v>0.6375</v>
      </c>
      <c r="J174" s="33">
        <v>1</v>
      </c>
      <c r="K174" s="17">
        <f t="shared" si="85"/>
        <v>0.651666666666667</v>
      </c>
      <c r="L174" s="17">
        <f>SQRT(9.2*9.2+11.6*11.6)*51/2</f>
        <v>377.537812675764</v>
      </c>
      <c r="M174" s="11">
        <v>1.36</v>
      </c>
      <c r="N174" s="18">
        <f t="shared" si="86"/>
        <v>4</v>
      </c>
      <c r="O174" s="19">
        <f t="shared" si="87"/>
        <v>3042.63166666667</v>
      </c>
      <c r="P174" s="19">
        <f t="shared" si="88"/>
        <v>944</v>
      </c>
      <c r="Q174" s="19">
        <f t="shared" si="89"/>
        <v>115</v>
      </c>
      <c r="R174" s="19">
        <f t="shared" si="90"/>
        <v>1287.67576844948</v>
      </c>
      <c r="S174" s="19">
        <f t="shared" si="91"/>
        <v>234.6</v>
      </c>
      <c r="T174" s="19">
        <f t="shared" si="92"/>
        <v>250</v>
      </c>
      <c r="U174" s="19">
        <f t="shared" si="93"/>
        <v>264.325834580227</v>
      </c>
      <c r="V174" s="19">
        <f t="shared" si="94"/>
        <v>552.440994272674</v>
      </c>
      <c r="W174" s="19">
        <f t="shared" si="95"/>
        <v>30.1080341878607</v>
      </c>
      <c r="X174" s="19">
        <f t="shared" si="96"/>
        <v>6720.78229815691</v>
      </c>
    </row>
    <row r="175" s="26" customFormat="1" customHeight="1" spans="1:24">
      <c r="A175" s="10">
        <v>171</v>
      </c>
      <c r="B175" s="11" t="s">
        <v>265</v>
      </c>
      <c r="C175" s="11" t="s">
        <v>258</v>
      </c>
      <c r="D175" s="11" t="s">
        <v>266</v>
      </c>
      <c r="E175" s="11" t="s">
        <v>24</v>
      </c>
      <c r="F175" s="11">
        <v>11.5</v>
      </c>
      <c r="G175" s="13">
        <v>39</v>
      </c>
      <c r="H175" s="14">
        <f>1+(F175-9)/9</f>
        <v>1.27777777777778</v>
      </c>
      <c r="I175" s="17">
        <f>1+(G175-80)/8/10</f>
        <v>0.4875</v>
      </c>
      <c r="J175" s="33">
        <v>1</v>
      </c>
      <c r="K175" s="17">
        <f t="shared" si="85"/>
        <v>0.622916666666667</v>
      </c>
      <c r="L175" s="17">
        <f>SQRT(11.5*11.5+20.7*20.7)*39</f>
        <v>923.518023646534</v>
      </c>
      <c r="M175" s="11">
        <v>2.4</v>
      </c>
      <c r="N175" s="18">
        <f t="shared" si="86"/>
        <v>4</v>
      </c>
      <c r="O175" s="19">
        <f t="shared" si="87"/>
        <v>2908.39791666667</v>
      </c>
      <c r="P175" s="19">
        <f t="shared" si="88"/>
        <v>944</v>
      </c>
      <c r="Q175" s="19">
        <f t="shared" si="89"/>
        <v>115</v>
      </c>
      <c r="R175" s="19">
        <f t="shared" si="90"/>
        <v>3149.86139361171</v>
      </c>
      <c r="S175" s="19">
        <f t="shared" si="91"/>
        <v>224.25</v>
      </c>
      <c r="T175" s="19">
        <f t="shared" si="92"/>
        <v>250</v>
      </c>
      <c r="U175" s="19">
        <f t="shared" si="93"/>
        <v>341.617918962527</v>
      </c>
      <c r="V175" s="19">
        <f t="shared" si="94"/>
        <v>713.981450631681</v>
      </c>
      <c r="W175" s="19">
        <f t="shared" si="95"/>
        <v>38.9119890594266</v>
      </c>
      <c r="X175" s="19">
        <f t="shared" si="96"/>
        <v>8686.02066893201</v>
      </c>
    </row>
    <row r="176" s="26" customFormat="1" customHeight="1" spans="1:24">
      <c r="A176" s="10">
        <v>172</v>
      </c>
      <c r="B176" s="11" t="s">
        <v>267</v>
      </c>
      <c r="C176" s="11" t="s">
        <v>258</v>
      </c>
      <c r="D176" s="11" t="s">
        <v>262</v>
      </c>
      <c r="E176" s="11" t="s">
        <v>24</v>
      </c>
      <c r="F176" s="11">
        <v>13.9</v>
      </c>
      <c r="G176" s="13">
        <v>33</v>
      </c>
      <c r="H176" s="14">
        <f>1+(F176-10)/10</f>
        <v>1.39</v>
      </c>
      <c r="I176" s="17">
        <f>1+(G176-90)/9/10</f>
        <v>0.366666666666667</v>
      </c>
      <c r="J176" s="33">
        <v>1</v>
      </c>
      <c r="K176" s="17">
        <f t="shared" si="85"/>
        <v>0.509666666666667</v>
      </c>
      <c r="L176" s="17">
        <f>SQRT(13.9*13.9+24.33*24.33)*33/2</f>
        <v>462.341335514142</v>
      </c>
      <c r="M176" s="11">
        <v>3.2</v>
      </c>
      <c r="N176" s="18">
        <f t="shared" si="86"/>
        <v>3</v>
      </c>
      <c r="O176" s="19">
        <f t="shared" si="87"/>
        <v>3087.051</v>
      </c>
      <c r="P176" s="19">
        <f t="shared" si="88"/>
        <v>1482</v>
      </c>
      <c r="Q176" s="19">
        <f t="shared" si="89"/>
        <v>173</v>
      </c>
      <c r="R176" s="19">
        <f t="shared" si="90"/>
        <v>1576.91683986479</v>
      </c>
      <c r="S176" s="19">
        <f t="shared" si="91"/>
        <v>229.35</v>
      </c>
      <c r="T176" s="19">
        <f t="shared" si="92"/>
        <v>250</v>
      </c>
      <c r="U176" s="19">
        <f t="shared" si="93"/>
        <v>305.924302793916</v>
      </c>
      <c r="V176" s="19">
        <f t="shared" si="94"/>
        <v>639.381792839284</v>
      </c>
      <c r="W176" s="19">
        <f t="shared" si="95"/>
        <v>34.846307709741</v>
      </c>
      <c r="X176" s="19">
        <f t="shared" si="96"/>
        <v>7778.47024320773</v>
      </c>
    </row>
    <row r="177" s="26" customFormat="1" customHeight="1" spans="1:24">
      <c r="A177" s="10">
        <v>173</v>
      </c>
      <c r="B177" s="11" t="s">
        <v>268</v>
      </c>
      <c r="C177" s="11" t="s">
        <v>269</v>
      </c>
      <c r="D177" s="11" t="s">
        <v>270</v>
      </c>
      <c r="E177" s="11" t="s">
        <v>24</v>
      </c>
      <c r="F177" s="11">
        <v>10.05</v>
      </c>
      <c r="G177" s="13">
        <v>36.8</v>
      </c>
      <c r="H177" s="14">
        <f t="shared" ref="H177:H181" si="109">1+(F177-8)/8</f>
        <v>1.25625</v>
      </c>
      <c r="I177" s="17">
        <f t="shared" ref="I177:I181" si="110">1+(G177-70)/7/10</f>
        <v>0.525714285714286</v>
      </c>
      <c r="J177" s="33">
        <v>1</v>
      </c>
      <c r="K177" s="17">
        <f t="shared" si="85"/>
        <v>0.660428571428571</v>
      </c>
      <c r="L177" s="17">
        <f>SQRT(10.05*10.05+17.59*17.59)*36.8</f>
        <v>745.516231174077</v>
      </c>
      <c r="M177" s="11">
        <v>0.9</v>
      </c>
      <c r="N177" s="18">
        <f t="shared" si="86"/>
        <v>5</v>
      </c>
      <c r="O177" s="19">
        <f t="shared" si="87"/>
        <v>2434.33971428571</v>
      </c>
      <c r="P177" s="19">
        <f t="shared" si="88"/>
        <v>624</v>
      </c>
      <c r="Q177" s="19">
        <f t="shared" si="89"/>
        <v>58</v>
      </c>
      <c r="R177" s="19">
        <f t="shared" si="90"/>
        <v>2542.74711999005</v>
      </c>
      <c r="S177" s="19">
        <f t="shared" si="91"/>
        <v>184.92</v>
      </c>
      <c r="T177" s="19">
        <f t="shared" si="92"/>
        <v>250</v>
      </c>
      <c r="U177" s="19">
        <f t="shared" si="93"/>
        <v>274.230307542409</v>
      </c>
      <c r="V177" s="19">
        <f t="shared" si="94"/>
        <v>573.141342763635</v>
      </c>
      <c r="W177" s="19">
        <f t="shared" si="95"/>
        <v>31.2362031806181</v>
      </c>
      <c r="X177" s="19">
        <f t="shared" si="96"/>
        <v>6972.61468776243</v>
      </c>
    </row>
    <row r="178" s="26" customFormat="1" customHeight="1" spans="1:24">
      <c r="A178" s="10">
        <v>174</v>
      </c>
      <c r="B178" s="11" t="s">
        <v>271</v>
      </c>
      <c r="C178" s="11" t="s">
        <v>269</v>
      </c>
      <c r="D178" s="11" t="s">
        <v>272</v>
      </c>
      <c r="E178" s="11" t="s">
        <v>24</v>
      </c>
      <c r="F178" s="11">
        <v>10.6</v>
      </c>
      <c r="G178" s="13">
        <v>33</v>
      </c>
      <c r="H178" s="14">
        <f t="shared" si="109"/>
        <v>1.325</v>
      </c>
      <c r="I178" s="17">
        <f t="shared" si="110"/>
        <v>0.471428571428571</v>
      </c>
      <c r="J178" s="33">
        <v>1</v>
      </c>
      <c r="K178" s="17">
        <f t="shared" si="85"/>
        <v>0.624642857142857</v>
      </c>
      <c r="L178" s="17">
        <f>SQRT(10.6*10.6+18.55*18.55)*33/2</f>
        <v>352.522220044354</v>
      </c>
      <c r="M178" s="11">
        <v>0.8</v>
      </c>
      <c r="N178" s="18">
        <f t="shared" si="86"/>
        <v>5</v>
      </c>
      <c r="O178" s="19">
        <f t="shared" si="87"/>
        <v>2302.43357142857</v>
      </c>
      <c r="P178" s="19">
        <f t="shared" si="88"/>
        <v>624</v>
      </c>
      <c r="Q178" s="19">
        <f t="shared" si="89"/>
        <v>58</v>
      </c>
      <c r="R178" s="19">
        <f t="shared" si="90"/>
        <v>1202.35458634968</v>
      </c>
      <c r="S178" s="19">
        <f t="shared" si="91"/>
        <v>174.9</v>
      </c>
      <c r="T178" s="19">
        <f t="shared" si="92"/>
        <v>250</v>
      </c>
      <c r="U178" s="19">
        <f t="shared" si="93"/>
        <v>207.525967100021</v>
      </c>
      <c r="V178" s="19">
        <f t="shared" si="94"/>
        <v>433.729271239044</v>
      </c>
      <c r="W178" s="19">
        <f t="shared" si="95"/>
        <v>23.6382452825279</v>
      </c>
      <c r="X178" s="19">
        <f t="shared" si="96"/>
        <v>5276.58164139984</v>
      </c>
    </row>
    <row r="179" s="26" customFormat="1" customHeight="1" spans="1:24">
      <c r="A179" s="10">
        <v>175</v>
      </c>
      <c r="B179" s="11" t="s">
        <v>273</v>
      </c>
      <c r="C179" s="11" t="s">
        <v>269</v>
      </c>
      <c r="D179" s="11" t="s">
        <v>274</v>
      </c>
      <c r="E179" s="11" t="s">
        <v>24</v>
      </c>
      <c r="F179" s="11">
        <v>13</v>
      </c>
      <c r="G179" s="13">
        <v>83</v>
      </c>
      <c r="H179" s="14">
        <f>1+(F179-10)/10</f>
        <v>1.3</v>
      </c>
      <c r="I179" s="17">
        <f>1+(G179-90)/9/10</f>
        <v>0.922222222222222</v>
      </c>
      <c r="J179" s="33">
        <v>1</v>
      </c>
      <c r="K179" s="17">
        <f t="shared" si="85"/>
        <v>1.19888888888889</v>
      </c>
      <c r="L179" s="17">
        <f>SQRT(13*13+23.4*23.4)*83/2</f>
        <v>1110.8984922125</v>
      </c>
      <c r="M179" s="11">
        <v>3.2</v>
      </c>
      <c r="N179" s="18">
        <f t="shared" si="86"/>
        <v>3</v>
      </c>
      <c r="O179" s="19">
        <f t="shared" si="87"/>
        <v>7261.67</v>
      </c>
      <c r="P179" s="19">
        <f t="shared" si="88"/>
        <v>1482</v>
      </c>
      <c r="Q179" s="19">
        <f t="shared" si="89"/>
        <v>173</v>
      </c>
      <c r="R179" s="19">
        <f t="shared" si="90"/>
        <v>3788.96370535901</v>
      </c>
      <c r="S179" s="19">
        <f t="shared" si="91"/>
        <v>539.5</v>
      </c>
      <c r="T179" s="19">
        <f t="shared" si="92"/>
        <v>250</v>
      </c>
      <c r="U179" s="19">
        <f t="shared" si="93"/>
        <v>607.281016741155</v>
      </c>
      <c r="V179" s="19">
        <f t="shared" si="94"/>
        <v>1269.21732498901</v>
      </c>
      <c r="W179" s="19">
        <f t="shared" si="95"/>
        <v>69.1723442119013</v>
      </c>
      <c r="X179" s="19">
        <f t="shared" si="96"/>
        <v>15440.8043913011</v>
      </c>
    </row>
    <row r="180" s="26" customFormat="1" customHeight="1" spans="1:24">
      <c r="A180" s="10">
        <v>176</v>
      </c>
      <c r="B180" s="11" t="s">
        <v>275</v>
      </c>
      <c r="C180" s="11" t="s">
        <v>269</v>
      </c>
      <c r="D180" s="11" t="s">
        <v>276</v>
      </c>
      <c r="E180" s="11" t="s">
        <v>24</v>
      </c>
      <c r="F180" s="11">
        <v>10.9</v>
      </c>
      <c r="G180" s="13">
        <v>36</v>
      </c>
      <c r="H180" s="14">
        <f t="shared" ref="H180:H183" si="111">1+(F180-9)/9</f>
        <v>1.21111111111111</v>
      </c>
      <c r="I180" s="17">
        <f t="shared" ref="I180:I183" si="112">1+(G180-80)/8/10</f>
        <v>0.45</v>
      </c>
      <c r="J180" s="33">
        <v>1</v>
      </c>
      <c r="K180" s="17">
        <f t="shared" si="85"/>
        <v>0.545</v>
      </c>
      <c r="L180" s="17">
        <f>SQRT(10.9*10.9+19.08*19.08)*36/2</f>
        <v>395.531886957297</v>
      </c>
      <c r="M180" s="11">
        <v>1</v>
      </c>
      <c r="N180" s="18">
        <f t="shared" si="86"/>
        <v>5</v>
      </c>
      <c r="O180" s="19">
        <f t="shared" si="87"/>
        <v>2008.87</v>
      </c>
      <c r="P180" s="19">
        <f t="shared" si="88"/>
        <v>624</v>
      </c>
      <c r="Q180" s="19">
        <f t="shared" si="89"/>
        <v>58</v>
      </c>
      <c r="R180" s="19">
        <f t="shared" si="90"/>
        <v>1349.04851748299</v>
      </c>
      <c r="S180" s="19">
        <f t="shared" si="91"/>
        <v>196.2</v>
      </c>
      <c r="T180" s="19">
        <f t="shared" si="92"/>
        <v>250</v>
      </c>
      <c r="U180" s="19">
        <f t="shared" si="93"/>
        <v>201.875333286735</v>
      </c>
      <c r="V180" s="19">
        <f t="shared" si="94"/>
        <v>421.919446569275</v>
      </c>
      <c r="W180" s="19">
        <f t="shared" si="95"/>
        <v>22.9946098380255</v>
      </c>
      <c r="X180" s="19">
        <f t="shared" si="96"/>
        <v>5132.90790717703</v>
      </c>
    </row>
    <row r="181" s="26" customFormat="1" customHeight="1" spans="1:24">
      <c r="A181" s="10">
        <v>177</v>
      </c>
      <c r="B181" s="32" t="s">
        <v>277</v>
      </c>
      <c r="C181" s="11" t="s">
        <v>269</v>
      </c>
      <c r="D181" s="11" t="s">
        <v>272</v>
      </c>
      <c r="E181" s="11" t="s">
        <v>24</v>
      </c>
      <c r="F181" s="11">
        <v>8.41</v>
      </c>
      <c r="G181" s="13">
        <v>21.04</v>
      </c>
      <c r="H181" s="14">
        <f t="shared" si="109"/>
        <v>1.05125</v>
      </c>
      <c r="I181" s="17">
        <f t="shared" si="110"/>
        <v>0.300571428571428</v>
      </c>
      <c r="J181" s="33">
        <v>1</v>
      </c>
      <c r="K181" s="17">
        <f t="shared" si="85"/>
        <v>0.315975714285714</v>
      </c>
      <c r="L181" s="17">
        <f>SQRT(8.41*8.41+9.25*9.25)*21.04</f>
        <v>263.034166740673</v>
      </c>
      <c r="M181" s="11">
        <v>0.35</v>
      </c>
      <c r="N181" s="18">
        <f t="shared" si="86"/>
        <v>5</v>
      </c>
      <c r="O181" s="19">
        <f t="shared" si="87"/>
        <v>1164.68648285714</v>
      </c>
      <c r="P181" s="19">
        <f t="shared" si="88"/>
        <v>624</v>
      </c>
      <c r="Q181" s="19">
        <f t="shared" si="89"/>
        <v>58</v>
      </c>
      <c r="R181" s="19">
        <f t="shared" si="90"/>
        <v>897.135893185747</v>
      </c>
      <c r="S181" s="19">
        <f t="shared" si="91"/>
        <v>88.4732</v>
      </c>
      <c r="T181" s="19">
        <f t="shared" si="92"/>
        <v>250</v>
      </c>
      <c r="U181" s="19">
        <f t="shared" si="93"/>
        <v>138.70330092193</v>
      </c>
      <c r="V181" s="19">
        <f t="shared" si="94"/>
        <v>289.889898926834</v>
      </c>
      <c r="W181" s="19">
        <f t="shared" si="95"/>
        <v>15.7989994915124</v>
      </c>
      <c r="X181" s="19">
        <f t="shared" si="96"/>
        <v>3526.68777538316</v>
      </c>
    </row>
    <row r="182" s="26" customFormat="1" customHeight="1" spans="1:24">
      <c r="A182" s="10">
        <v>178</v>
      </c>
      <c r="B182" s="11" t="s">
        <v>278</v>
      </c>
      <c r="C182" s="11" t="s">
        <v>269</v>
      </c>
      <c r="D182" s="11" t="s">
        <v>272</v>
      </c>
      <c r="E182" s="11" t="s">
        <v>159</v>
      </c>
      <c r="F182" s="11">
        <v>11.5</v>
      </c>
      <c r="G182" s="13">
        <v>45.48</v>
      </c>
      <c r="H182" s="14">
        <f t="shared" si="111"/>
        <v>1.27777777777778</v>
      </c>
      <c r="I182" s="17">
        <f t="shared" si="112"/>
        <v>0.5685</v>
      </c>
      <c r="J182" s="33">
        <v>1</v>
      </c>
      <c r="K182" s="17">
        <f t="shared" si="85"/>
        <v>0.726416666666667</v>
      </c>
      <c r="L182" s="17">
        <v>0</v>
      </c>
      <c r="M182" s="11">
        <v>1.04</v>
      </c>
      <c r="N182" s="18">
        <f t="shared" si="86"/>
        <v>4</v>
      </c>
      <c r="O182" s="19">
        <f t="shared" si="87"/>
        <v>3391.63941666667</v>
      </c>
      <c r="P182" s="19">
        <f t="shared" si="88"/>
        <v>944</v>
      </c>
      <c r="Q182" s="19">
        <f t="shared" si="89"/>
        <v>115</v>
      </c>
      <c r="R182" s="19">
        <f t="shared" si="90"/>
        <v>0</v>
      </c>
      <c r="S182" s="19">
        <f t="shared" si="91"/>
        <v>261.51</v>
      </c>
      <c r="T182" s="19">
        <f t="shared" si="92"/>
        <v>250</v>
      </c>
      <c r="U182" s="19">
        <f t="shared" si="93"/>
        <v>223.29672375</v>
      </c>
      <c r="V182" s="19">
        <f t="shared" si="94"/>
        <v>466.6901526375</v>
      </c>
      <c r="W182" s="19">
        <f t="shared" si="95"/>
        <v>25.4346133187438</v>
      </c>
      <c r="X182" s="19">
        <f t="shared" si="96"/>
        <v>5677.57090637291</v>
      </c>
    </row>
    <row r="183" s="26" customFormat="1" customHeight="1" spans="1:24">
      <c r="A183" s="10">
        <v>179</v>
      </c>
      <c r="B183" s="11" t="s">
        <v>279</v>
      </c>
      <c r="C183" s="11" t="s">
        <v>280</v>
      </c>
      <c r="D183" s="11" t="s">
        <v>281</v>
      </c>
      <c r="E183" s="11" t="s">
        <v>24</v>
      </c>
      <c r="F183" s="11">
        <v>8.2</v>
      </c>
      <c r="G183" s="13">
        <v>42.5</v>
      </c>
      <c r="H183" s="14">
        <f t="shared" si="111"/>
        <v>0.911111111111111</v>
      </c>
      <c r="I183" s="17">
        <f t="shared" si="112"/>
        <v>0.53125</v>
      </c>
      <c r="J183" s="33">
        <v>1</v>
      </c>
      <c r="K183" s="17">
        <f t="shared" si="85"/>
        <v>0.484027777777778</v>
      </c>
      <c r="L183" s="17">
        <f>SQRT(8.2*8.2+16.4*16.4)*42.5/2</f>
        <v>389.634845079338</v>
      </c>
      <c r="M183" s="11">
        <v>1.4</v>
      </c>
      <c r="N183" s="18">
        <f t="shared" si="86"/>
        <v>4</v>
      </c>
      <c r="O183" s="19">
        <f t="shared" si="87"/>
        <v>2259.92569444444</v>
      </c>
      <c r="P183" s="19">
        <f t="shared" si="88"/>
        <v>944</v>
      </c>
      <c r="Q183" s="19">
        <f t="shared" si="89"/>
        <v>115</v>
      </c>
      <c r="R183" s="19">
        <f t="shared" si="90"/>
        <v>1328.935358809</v>
      </c>
      <c r="S183" s="19">
        <f t="shared" si="91"/>
        <v>174.25</v>
      </c>
      <c r="T183" s="19">
        <f t="shared" si="92"/>
        <v>250</v>
      </c>
      <c r="U183" s="19">
        <f t="shared" si="93"/>
        <v>228.244997396405</v>
      </c>
      <c r="V183" s="19">
        <f t="shared" si="94"/>
        <v>477.032044558486</v>
      </c>
      <c r="W183" s="19">
        <f t="shared" si="95"/>
        <v>25.9982464284375</v>
      </c>
      <c r="X183" s="19">
        <f t="shared" si="96"/>
        <v>5803.38634163677</v>
      </c>
    </row>
    <row r="184" s="26" customFormat="1" customHeight="1" spans="1:24">
      <c r="A184" s="10">
        <v>180</v>
      </c>
      <c r="B184" s="11" t="s">
        <v>282</v>
      </c>
      <c r="C184" s="11" t="s">
        <v>280</v>
      </c>
      <c r="D184" s="11" t="s">
        <v>283</v>
      </c>
      <c r="E184" s="11" t="s">
        <v>24</v>
      </c>
      <c r="F184" s="11">
        <v>11.4</v>
      </c>
      <c r="G184" s="13">
        <v>48.78</v>
      </c>
      <c r="H184" s="14">
        <f>1+(F184-10)/10</f>
        <v>1.14</v>
      </c>
      <c r="I184" s="17">
        <f>1+(G184-90)/9/10</f>
        <v>0.542</v>
      </c>
      <c r="J184" s="33">
        <v>1.1</v>
      </c>
      <c r="K184" s="17">
        <f t="shared" si="85"/>
        <v>0.679668</v>
      </c>
      <c r="L184" s="17">
        <f>SQRT(11.95*11.95+20.91*20.91)*54.5/2</f>
        <v>656.284216184193</v>
      </c>
      <c r="M184" s="11">
        <v>3</v>
      </c>
      <c r="N184" s="18">
        <f t="shared" si="86"/>
        <v>4</v>
      </c>
      <c r="O184" s="19">
        <f t="shared" si="87"/>
        <v>3173.369892</v>
      </c>
      <c r="P184" s="19">
        <f t="shared" si="88"/>
        <v>1038.4</v>
      </c>
      <c r="Q184" s="19">
        <f t="shared" si="89"/>
        <v>115</v>
      </c>
      <c r="R184" s="19">
        <f t="shared" si="90"/>
        <v>2238.40170182375</v>
      </c>
      <c r="S184" s="19">
        <f t="shared" si="91"/>
        <v>278.046</v>
      </c>
      <c r="T184" s="19">
        <f t="shared" si="92"/>
        <v>250</v>
      </c>
      <c r="U184" s="19">
        <f t="shared" si="93"/>
        <v>319.194791722069</v>
      </c>
      <c r="V184" s="19">
        <f t="shared" si="94"/>
        <v>667.117114699124</v>
      </c>
      <c r="W184" s="19">
        <f t="shared" si="95"/>
        <v>36.3578827511022</v>
      </c>
      <c r="X184" s="19">
        <f t="shared" si="96"/>
        <v>8115.88738299604</v>
      </c>
    </row>
    <row r="185" s="26" customFormat="1" customHeight="1" spans="1:24">
      <c r="A185" s="10">
        <v>181</v>
      </c>
      <c r="B185" s="11" t="s">
        <v>284</v>
      </c>
      <c r="C185" s="11" t="s">
        <v>285</v>
      </c>
      <c r="D185" s="11" t="s">
        <v>286</v>
      </c>
      <c r="E185" s="11" t="s">
        <v>24</v>
      </c>
      <c r="F185" s="11">
        <v>12.44</v>
      </c>
      <c r="G185" s="13">
        <v>38.5</v>
      </c>
      <c r="H185" s="14">
        <f t="shared" ref="H185:H188" si="113">1+(F185-9)/9</f>
        <v>1.38222222222222</v>
      </c>
      <c r="I185" s="17">
        <f t="shared" ref="I185:I188" si="114">1+(G185-80)/8/10</f>
        <v>0.48125</v>
      </c>
      <c r="J185" s="33">
        <v>1</v>
      </c>
      <c r="K185" s="17">
        <f t="shared" si="85"/>
        <v>0.665194444444444</v>
      </c>
      <c r="L185" s="17">
        <f>SQRT(12.44*12.44+21.77*21.77)*38.5</f>
        <v>965.334431492527</v>
      </c>
      <c r="M185" s="11">
        <v>1.8</v>
      </c>
      <c r="N185" s="18">
        <f t="shared" si="86"/>
        <v>4</v>
      </c>
      <c r="O185" s="19">
        <f t="shared" si="87"/>
        <v>3105.79286111111</v>
      </c>
      <c r="P185" s="19">
        <f t="shared" si="88"/>
        <v>944</v>
      </c>
      <c r="Q185" s="19">
        <f t="shared" si="89"/>
        <v>115</v>
      </c>
      <c r="R185" s="19">
        <f t="shared" si="90"/>
        <v>3292.48545218019</v>
      </c>
      <c r="S185" s="19">
        <f t="shared" si="91"/>
        <v>239.47</v>
      </c>
      <c r="T185" s="19">
        <f t="shared" si="92"/>
        <v>250</v>
      </c>
      <c r="U185" s="19">
        <f t="shared" si="93"/>
        <v>357.603674098109</v>
      </c>
      <c r="V185" s="19">
        <f t="shared" si="94"/>
        <v>747.391678865047</v>
      </c>
      <c r="W185" s="19">
        <f t="shared" si="95"/>
        <v>40.7328464981451</v>
      </c>
      <c r="X185" s="19">
        <f t="shared" si="96"/>
        <v>9092.4765127526</v>
      </c>
    </row>
    <row r="186" s="26" customFormat="1" customHeight="1" spans="1:24">
      <c r="A186" s="10">
        <v>182</v>
      </c>
      <c r="B186" s="11" t="s">
        <v>287</v>
      </c>
      <c r="C186" s="11" t="s">
        <v>285</v>
      </c>
      <c r="D186" s="11" t="s">
        <v>286</v>
      </c>
      <c r="E186" s="11" t="s">
        <v>24</v>
      </c>
      <c r="F186" s="11">
        <v>13</v>
      </c>
      <c r="G186" s="13">
        <v>60</v>
      </c>
      <c r="H186" s="14">
        <f t="shared" si="113"/>
        <v>1.44444444444444</v>
      </c>
      <c r="I186" s="17">
        <f t="shared" si="114"/>
        <v>0.75</v>
      </c>
      <c r="J186" s="33">
        <v>1</v>
      </c>
      <c r="K186" s="17">
        <f t="shared" si="85"/>
        <v>1.08333333333333</v>
      </c>
      <c r="L186" s="17">
        <f>SQRT(13*13+22.75*22.75)*60</f>
        <v>1572.14026091822</v>
      </c>
      <c r="M186" s="11">
        <v>1.4</v>
      </c>
      <c r="N186" s="18">
        <f t="shared" si="86"/>
        <v>4</v>
      </c>
      <c r="O186" s="19">
        <f t="shared" si="87"/>
        <v>5058.08333333333</v>
      </c>
      <c r="P186" s="19">
        <f t="shared" si="88"/>
        <v>944</v>
      </c>
      <c r="Q186" s="19">
        <f t="shared" si="89"/>
        <v>115</v>
      </c>
      <c r="R186" s="19">
        <f t="shared" si="90"/>
        <v>5362.13023071898</v>
      </c>
      <c r="S186" s="19">
        <f t="shared" si="91"/>
        <v>390</v>
      </c>
      <c r="T186" s="19">
        <f t="shared" si="92"/>
        <v>250</v>
      </c>
      <c r="U186" s="19">
        <f t="shared" si="93"/>
        <v>545.364610382354</v>
      </c>
      <c r="V186" s="19">
        <f t="shared" si="94"/>
        <v>1139.81203569912</v>
      </c>
      <c r="W186" s="19">
        <f t="shared" si="95"/>
        <v>62.1197559456021</v>
      </c>
      <c r="X186" s="19">
        <f t="shared" si="96"/>
        <v>13866.5099660794</v>
      </c>
    </row>
    <row r="187" s="26" customFormat="1" customHeight="1" spans="1:24">
      <c r="A187" s="10">
        <v>183</v>
      </c>
      <c r="B187" s="11" t="s">
        <v>288</v>
      </c>
      <c r="C187" s="11" t="s">
        <v>285</v>
      </c>
      <c r="D187" s="11" t="s">
        <v>289</v>
      </c>
      <c r="E187" s="11" t="s">
        <v>159</v>
      </c>
      <c r="F187" s="13">
        <v>19.5</v>
      </c>
      <c r="G187" s="13">
        <v>54.1</v>
      </c>
      <c r="H187" s="14">
        <f t="shared" si="113"/>
        <v>2.16666666666667</v>
      </c>
      <c r="I187" s="17">
        <f t="shared" si="114"/>
        <v>0.67625</v>
      </c>
      <c r="J187" s="33">
        <v>1.1</v>
      </c>
      <c r="K187" s="17">
        <f t="shared" si="85"/>
        <v>1.61172916666667</v>
      </c>
      <c r="L187" s="17">
        <v>0</v>
      </c>
      <c r="M187" s="11">
        <v>2.2</v>
      </c>
      <c r="N187" s="18">
        <f t="shared" si="86"/>
        <v>4</v>
      </c>
      <c r="O187" s="19">
        <f t="shared" si="87"/>
        <v>7525.16347916667</v>
      </c>
      <c r="P187" s="19">
        <f t="shared" si="88"/>
        <v>1038.4</v>
      </c>
      <c r="Q187" s="19">
        <f t="shared" si="89"/>
        <v>115</v>
      </c>
      <c r="R187" s="19">
        <f t="shared" si="90"/>
        <v>0</v>
      </c>
      <c r="S187" s="19">
        <f t="shared" si="91"/>
        <v>527.475</v>
      </c>
      <c r="T187" s="19">
        <f t="shared" si="92"/>
        <v>250</v>
      </c>
      <c r="U187" s="19">
        <f t="shared" si="93"/>
        <v>425.5217315625</v>
      </c>
      <c r="V187" s="19">
        <f t="shared" si="94"/>
        <v>889.340418965625</v>
      </c>
      <c r="W187" s="19">
        <f t="shared" si="95"/>
        <v>48.4690528336266</v>
      </c>
      <c r="X187" s="19">
        <f t="shared" si="96"/>
        <v>10819.3696825284</v>
      </c>
    </row>
    <row r="188" s="26" customFormat="1" customHeight="1" spans="1:24">
      <c r="A188" s="10">
        <v>184</v>
      </c>
      <c r="B188" s="11" t="s">
        <v>290</v>
      </c>
      <c r="C188" s="11" t="s">
        <v>291</v>
      </c>
      <c r="D188" s="11" t="s">
        <v>292</v>
      </c>
      <c r="E188" s="11" t="s">
        <v>24</v>
      </c>
      <c r="F188" s="11">
        <v>10.4</v>
      </c>
      <c r="G188" s="13">
        <v>59.4</v>
      </c>
      <c r="H188" s="14">
        <f t="shared" si="113"/>
        <v>1.15555555555556</v>
      </c>
      <c r="I188" s="17">
        <f t="shared" si="114"/>
        <v>0.7425</v>
      </c>
      <c r="J188" s="33">
        <v>1</v>
      </c>
      <c r="K188" s="17">
        <f t="shared" si="85"/>
        <v>0.858</v>
      </c>
      <c r="L188" s="17">
        <f>SQRT(18.5*18.5+37*37)*59</f>
        <v>2440.66819744102</v>
      </c>
      <c r="M188" s="11">
        <v>1.1</v>
      </c>
      <c r="N188" s="18">
        <f t="shared" si="86"/>
        <v>4</v>
      </c>
      <c r="O188" s="19">
        <f t="shared" si="87"/>
        <v>4006.002</v>
      </c>
      <c r="P188" s="19">
        <f t="shared" si="88"/>
        <v>944</v>
      </c>
      <c r="Q188" s="19">
        <f t="shared" si="89"/>
        <v>115</v>
      </c>
      <c r="R188" s="19">
        <f t="shared" si="90"/>
        <v>8324.43583437604</v>
      </c>
      <c r="S188" s="19">
        <f t="shared" si="91"/>
        <v>308.88</v>
      </c>
      <c r="T188" s="19">
        <f t="shared" si="92"/>
        <v>250</v>
      </c>
      <c r="U188" s="19">
        <f t="shared" si="93"/>
        <v>627.674302546922</v>
      </c>
      <c r="V188" s="19">
        <f t="shared" si="94"/>
        <v>1311.83929232307</v>
      </c>
      <c r="W188" s="19">
        <f t="shared" si="95"/>
        <v>71.4952414316071</v>
      </c>
      <c r="X188" s="19">
        <f t="shared" si="96"/>
        <v>15959.3266706776</v>
      </c>
    </row>
    <row r="189" s="26" customFormat="1" customHeight="1" spans="1:24">
      <c r="A189" s="10">
        <v>185</v>
      </c>
      <c r="B189" s="32" t="s">
        <v>293</v>
      </c>
      <c r="C189" s="11" t="s">
        <v>294</v>
      </c>
      <c r="D189" s="11" t="s">
        <v>295</v>
      </c>
      <c r="E189" s="11" t="s">
        <v>24</v>
      </c>
      <c r="F189" s="11">
        <v>9.4</v>
      </c>
      <c r="G189" s="13">
        <v>31.03</v>
      </c>
      <c r="H189" s="14">
        <f t="shared" ref="H189:H192" si="115">1+(F189-8)/8</f>
        <v>1.175</v>
      </c>
      <c r="I189" s="17">
        <f t="shared" ref="I189:I192" si="116">1+(G189-70)/7/10</f>
        <v>0.443285714285714</v>
      </c>
      <c r="J189" s="33">
        <v>1</v>
      </c>
      <c r="K189" s="17">
        <f t="shared" si="85"/>
        <v>0.520860714285714</v>
      </c>
      <c r="L189" s="17">
        <v>0</v>
      </c>
      <c r="M189" s="11">
        <v>0.35</v>
      </c>
      <c r="N189" s="18">
        <f t="shared" si="86"/>
        <v>5</v>
      </c>
      <c r="O189" s="19">
        <f t="shared" si="87"/>
        <v>1919.89259285714</v>
      </c>
      <c r="P189" s="19">
        <f t="shared" si="88"/>
        <v>624</v>
      </c>
      <c r="Q189" s="19">
        <f t="shared" si="89"/>
        <v>58</v>
      </c>
      <c r="R189" s="19">
        <f t="shared" si="90"/>
        <v>0</v>
      </c>
      <c r="S189" s="19">
        <f t="shared" si="91"/>
        <v>145.841</v>
      </c>
      <c r="T189" s="19">
        <f t="shared" si="92"/>
        <v>250</v>
      </c>
      <c r="U189" s="19">
        <f t="shared" si="93"/>
        <v>134.898011678571</v>
      </c>
      <c r="V189" s="19">
        <f t="shared" si="94"/>
        <v>281.936844408214</v>
      </c>
      <c r="W189" s="19">
        <f t="shared" si="95"/>
        <v>15.3655580202477</v>
      </c>
      <c r="X189" s="19">
        <f t="shared" si="96"/>
        <v>3429.93400696418</v>
      </c>
    </row>
    <row r="190" s="26" customFormat="1" customHeight="1" spans="1:24">
      <c r="A190" s="10">
        <v>186</v>
      </c>
      <c r="B190" s="11" t="s">
        <v>296</v>
      </c>
      <c r="C190" s="11" t="s">
        <v>294</v>
      </c>
      <c r="D190" s="11" t="s">
        <v>297</v>
      </c>
      <c r="E190" s="11" t="s">
        <v>24</v>
      </c>
      <c r="F190" s="11">
        <v>8</v>
      </c>
      <c r="G190" s="13">
        <v>39</v>
      </c>
      <c r="H190" s="14">
        <f t="shared" si="115"/>
        <v>1</v>
      </c>
      <c r="I190" s="17">
        <f t="shared" si="116"/>
        <v>0.557142857142857</v>
      </c>
      <c r="J190" s="33">
        <v>1</v>
      </c>
      <c r="K190" s="17">
        <f t="shared" si="85"/>
        <v>0.557142857142857</v>
      </c>
      <c r="L190" s="17">
        <f>SQRT(8*8+14*14)*39</f>
        <v>628.856104367287</v>
      </c>
      <c r="M190" s="11">
        <v>0.8</v>
      </c>
      <c r="N190" s="18">
        <f t="shared" si="86"/>
        <v>5</v>
      </c>
      <c r="O190" s="19">
        <f t="shared" si="87"/>
        <v>2053.62857142857</v>
      </c>
      <c r="P190" s="19">
        <f t="shared" si="88"/>
        <v>624</v>
      </c>
      <c r="Q190" s="19">
        <f t="shared" si="89"/>
        <v>58</v>
      </c>
      <c r="R190" s="19">
        <f t="shared" si="90"/>
        <v>2144.85209228759</v>
      </c>
      <c r="S190" s="19">
        <f t="shared" si="91"/>
        <v>156</v>
      </c>
      <c r="T190" s="19">
        <f t="shared" si="92"/>
        <v>250</v>
      </c>
      <c r="U190" s="19">
        <f t="shared" si="93"/>
        <v>237.891629867227</v>
      </c>
      <c r="V190" s="19">
        <f t="shared" si="94"/>
        <v>497.193506422505</v>
      </c>
      <c r="W190" s="19">
        <f t="shared" si="95"/>
        <v>27.0970461000265</v>
      </c>
      <c r="X190" s="19">
        <f t="shared" si="96"/>
        <v>6048.66284610592</v>
      </c>
    </row>
    <row r="191" s="26" customFormat="1" customHeight="1" spans="1:24">
      <c r="A191" s="10">
        <v>187</v>
      </c>
      <c r="B191" s="11" t="s">
        <v>298</v>
      </c>
      <c r="C191" s="11" t="s">
        <v>294</v>
      </c>
      <c r="D191" s="11" t="s">
        <v>299</v>
      </c>
      <c r="E191" s="11" t="s">
        <v>159</v>
      </c>
      <c r="F191" s="11">
        <v>8.27</v>
      </c>
      <c r="G191" s="13">
        <v>27.9</v>
      </c>
      <c r="H191" s="14">
        <f t="shared" ref="H191:H196" si="117">1+(F191-9)/9</f>
        <v>0.918888888888889</v>
      </c>
      <c r="I191" s="17">
        <f t="shared" ref="I191:I196" si="118">1+(G191-80)/8/10</f>
        <v>0.34875</v>
      </c>
      <c r="J191" s="33">
        <v>1</v>
      </c>
      <c r="K191" s="17">
        <f t="shared" si="85"/>
        <v>0.3204625</v>
      </c>
      <c r="L191" s="17">
        <v>0</v>
      </c>
      <c r="M191" s="11">
        <v>1.3</v>
      </c>
      <c r="N191" s="18">
        <f t="shared" si="86"/>
        <v>4</v>
      </c>
      <c r="O191" s="19">
        <f t="shared" si="87"/>
        <v>1496.2394125</v>
      </c>
      <c r="P191" s="19">
        <f t="shared" si="88"/>
        <v>944</v>
      </c>
      <c r="Q191" s="19">
        <f t="shared" si="89"/>
        <v>115</v>
      </c>
      <c r="R191" s="19">
        <f t="shared" si="90"/>
        <v>0</v>
      </c>
      <c r="S191" s="19">
        <f t="shared" si="91"/>
        <v>115.3665</v>
      </c>
      <c r="T191" s="19">
        <f t="shared" si="92"/>
        <v>250</v>
      </c>
      <c r="U191" s="19">
        <f t="shared" si="93"/>
        <v>131.4272660625</v>
      </c>
      <c r="V191" s="19">
        <f t="shared" si="94"/>
        <v>274.682986070625</v>
      </c>
      <c r="W191" s="19">
        <f t="shared" si="95"/>
        <v>14.9702227408491</v>
      </c>
      <c r="X191" s="19">
        <f t="shared" si="96"/>
        <v>3341.68638737397</v>
      </c>
    </row>
    <row r="192" s="26" customFormat="1" customHeight="1" spans="1:24">
      <c r="A192" s="10">
        <v>188</v>
      </c>
      <c r="B192" s="11" t="s">
        <v>300</v>
      </c>
      <c r="C192" s="11" t="s">
        <v>294</v>
      </c>
      <c r="D192" s="11" t="s">
        <v>297</v>
      </c>
      <c r="E192" s="11" t="s">
        <v>24</v>
      </c>
      <c r="F192" s="11">
        <v>8.5</v>
      </c>
      <c r="G192" s="13">
        <v>36.2</v>
      </c>
      <c r="H192" s="14">
        <f t="shared" si="115"/>
        <v>1.0625</v>
      </c>
      <c r="I192" s="17">
        <f t="shared" si="116"/>
        <v>0.517142857142857</v>
      </c>
      <c r="J192" s="33">
        <v>1</v>
      </c>
      <c r="K192" s="17">
        <f t="shared" si="85"/>
        <v>0.549464285714286</v>
      </c>
      <c r="L192" s="17">
        <f>SQRT(8.5*8.5+14.88*14.88)*36.2</f>
        <v>620.346335796384</v>
      </c>
      <c r="M192" s="11">
        <v>0.8</v>
      </c>
      <c r="N192" s="18">
        <f t="shared" si="86"/>
        <v>5</v>
      </c>
      <c r="O192" s="19">
        <f t="shared" si="87"/>
        <v>2025.32535714286</v>
      </c>
      <c r="P192" s="19">
        <f t="shared" si="88"/>
        <v>624</v>
      </c>
      <c r="Q192" s="19">
        <f t="shared" si="89"/>
        <v>58</v>
      </c>
      <c r="R192" s="19">
        <f t="shared" si="90"/>
        <v>2115.82765442744</v>
      </c>
      <c r="S192" s="19">
        <f t="shared" si="91"/>
        <v>153.85</v>
      </c>
      <c r="T192" s="19">
        <f t="shared" si="92"/>
        <v>250</v>
      </c>
      <c r="U192" s="19">
        <f t="shared" si="93"/>
        <v>235.215135520663</v>
      </c>
      <c r="V192" s="19">
        <f t="shared" si="94"/>
        <v>491.599633238187</v>
      </c>
      <c r="W192" s="19">
        <f t="shared" si="95"/>
        <v>26.7921800114812</v>
      </c>
      <c r="X192" s="19">
        <f t="shared" si="96"/>
        <v>5980.60996034063</v>
      </c>
    </row>
    <row r="193" s="26" customFormat="1" customHeight="1" spans="1:24">
      <c r="A193" s="10">
        <v>189</v>
      </c>
      <c r="B193" s="11" t="s">
        <v>301</v>
      </c>
      <c r="C193" s="11" t="s">
        <v>302</v>
      </c>
      <c r="D193" s="11" t="s">
        <v>303</v>
      </c>
      <c r="E193" s="11" t="s">
        <v>24</v>
      </c>
      <c r="F193" s="11">
        <v>17</v>
      </c>
      <c r="G193" s="13">
        <v>48</v>
      </c>
      <c r="H193" s="14">
        <f>1+(F193-11)/11</f>
        <v>1.54545454545455</v>
      </c>
      <c r="I193" s="17">
        <f>1+(G193-100)/10/10</f>
        <v>0.48</v>
      </c>
      <c r="J193" s="33">
        <v>1</v>
      </c>
      <c r="K193" s="17">
        <f t="shared" si="85"/>
        <v>0.741818181818182</v>
      </c>
      <c r="L193" s="17">
        <f>SQRT(17*17+34*34)*48</f>
        <v>1824.63146963983</v>
      </c>
      <c r="M193" s="11">
        <v>4.5</v>
      </c>
      <c r="N193" s="18">
        <f t="shared" si="86"/>
        <v>3</v>
      </c>
      <c r="O193" s="19">
        <f t="shared" si="87"/>
        <v>4493.19272727273</v>
      </c>
      <c r="P193" s="19">
        <f t="shared" si="88"/>
        <v>1482</v>
      </c>
      <c r="Q193" s="19">
        <f t="shared" si="89"/>
        <v>173</v>
      </c>
      <c r="R193" s="19">
        <f t="shared" si="90"/>
        <v>6223.30704612995</v>
      </c>
      <c r="S193" s="19">
        <f t="shared" si="91"/>
        <v>408</v>
      </c>
      <c r="T193" s="19">
        <f t="shared" si="92"/>
        <v>250</v>
      </c>
      <c r="U193" s="19">
        <f t="shared" si="93"/>
        <v>586.327489803121</v>
      </c>
      <c r="V193" s="19">
        <f t="shared" si="94"/>
        <v>1225.42445368852</v>
      </c>
      <c r="W193" s="19">
        <f t="shared" si="95"/>
        <v>66.7856327260245</v>
      </c>
      <c r="X193" s="19">
        <f t="shared" si="96"/>
        <v>14908.0373496204</v>
      </c>
    </row>
    <row r="194" s="26" customFormat="1" customHeight="1" spans="1:24">
      <c r="A194" s="10">
        <v>190</v>
      </c>
      <c r="B194" s="11" t="s">
        <v>304</v>
      </c>
      <c r="C194" s="11" t="s">
        <v>305</v>
      </c>
      <c r="D194" s="11" t="s">
        <v>306</v>
      </c>
      <c r="E194" s="11" t="s">
        <v>24</v>
      </c>
      <c r="F194" s="11">
        <v>10</v>
      </c>
      <c r="G194" s="13">
        <v>50</v>
      </c>
      <c r="H194" s="14">
        <f t="shared" si="117"/>
        <v>1.11111111111111</v>
      </c>
      <c r="I194" s="17">
        <f t="shared" si="118"/>
        <v>0.625</v>
      </c>
      <c r="J194" s="33">
        <v>1</v>
      </c>
      <c r="K194" s="17">
        <f t="shared" si="85"/>
        <v>0.694444444444444</v>
      </c>
      <c r="L194" s="17">
        <f>SQRT(10*10+17.5*17.5)*50/2</f>
        <v>503.891109268659</v>
      </c>
      <c r="M194" s="11">
        <v>1.05</v>
      </c>
      <c r="N194" s="18">
        <f t="shared" si="86"/>
        <v>4</v>
      </c>
      <c r="O194" s="19">
        <f t="shared" si="87"/>
        <v>3242.36111111111</v>
      </c>
      <c r="P194" s="19">
        <f t="shared" si="88"/>
        <v>944</v>
      </c>
      <c r="Q194" s="19">
        <f t="shared" si="89"/>
        <v>115</v>
      </c>
      <c r="R194" s="19">
        <f t="shared" si="90"/>
        <v>1718.6314842048</v>
      </c>
      <c r="S194" s="19">
        <f t="shared" si="91"/>
        <v>250</v>
      </c>
      <c r="T194" s="19">
        <f t="shared" si="92"/>
        <v>250</v>
      </c>
      <c r="U194" s="19">
        <f t="shared" si="93"/>
        <v>293.399666789216</v>
      </c>
      <c r="V194" s="19">
        <f t="shared" si="94"/>
        <v>613.205303589462</v>
      </c>
      <c r="W194" s="19">
        <f t="shared" si="95"/>
        <v>33.4196890456257</v>
      </c>
      <c r="X194" s="19">
        <f t="shared" si="96"/>
        <v>7460.01725474022</v>
      </c>
    </row>
    <row r="195" s="26" customFormat="1" customHeight="1" spans="1:24">
      <c r="A195" s="10">
        <v>191</v>
      </c>
      <c r="B195" s="11" t="s">
        <v>307</v>
      </c>
      <c r="C195" s="11" t="s">
        <v>305</v>
      </c>
      <c r="D195" s="11" t="s">
        <v>308</v>
      </c>
      <c r="E195" s="11" t="s">
        <v>24</v>
      </c>
      <c r="F195" s="11">
        <v>5.3</v>
      </c>
      <c r="G195" s="13">
        <v>32</v>
      </c>
      <c r="H195" s="14">
        <f>1+(F195-8)/8</f>
        <v>0.6625</v>
      </c>
      <c r="I195" s="17">
        <f>1+(G195-70)/7/10</f>
        <v>0.457142857142857</v>
      </c>
      <c r="J195" s="33">
        <v>1</v>
      </c>
      <c r="K195" s="17">
        <f t="shared" si="85"/>
        <v>0.302857142857143</v>
      </c>
      <c r="L195" s="17">
        <f>SQRT(5.3*5.3+9.28*9.28)*32/2</f>
        <v>170.989328321975</v>
      </c>
      <c r="M195" s="11">
        <v>0.9</v>
      </c>
      <c r="N195" s="18">
        <f t="shared" si="86"/>
        <v>5</v>
      </c>
      <c r="O195" s="19">
        <f t="shared" si="87"/>
        <v>1116.33142857143</v>
      </c>
      <c r="P195" s="19">
        <f t="shared" si="88"/>
        <v>624</v>
      </c>
      <c r="Q195" s="19">
        <f t="shared" si="89"/>
        <v>58</v>
      </c>
      <c r="R195" s="19">
        <f t="shared" si="90"/>
        <v>583.196721894325</v>
      </c>
      <c r="S195" s="19">
        <f t="shared" si="91"/>
        <v>84.8</v>
      </c>
      <c r="T195" s="19">
        <f t="shared" si="92"/>
        <v>250</v>
      </c>
      <c r="U195" s="19">
        <f t="shared" si="93"/>
        <v>122.234766770959</v>
      </c>
      <c r="V195" s="19">
        <f t="shared" si="94"/>
        <v>255.470662551304</v>
      </c>
      <c r="W195" s="19">
        <f t="shared" si="95"/>
        <v>13.9231511090461</v>
      </c>
      <c r="X195" s="19">
        <f t="shared" si="96"/>
        <v>3107.95673089706</v>
      </c>
    </row>
    <row r="196" s="26" customFormat="1" customHeight="1" spans="1:24">
      <c r="A196" s="10">
        <v>192</v>
      </c>
      <c r="B196" s="11" t="s">
        <v>309</v>
      </c>
      <c r="C196" s="11" t="s">
        <v>305</v>
      </c>
      <c r="D196" s="11" t="s">
        <v>308</v>
      </c>
      <c r="E196" s="11" t="s">
        <v>24</v>
      </c>
      <c r="F196" s="11">
        <v>7</v>
      </c>
      <c r="G196" s="13">
        <v>26</v>
      </c>
      <c r="H196" s="14">
        <f t="shared" si="117"/>
        <v>0.777777777777778</v>
      </c>
      <c r="I196" s="17">
        <f t="shared" si="118"/>
        <v>0.325</v>
      </c>
      <c r="J196" s="33">
        <v>1</v>
      </c>
      <c r="K196" s="17">
        <f t="shared" si="85"/>
        <v>0.252777777777778</v>
      </c>
      <c r="L196" s="17">
        <v>0</v>
      </c>
      <c r="M196" s="11">
        <v>1.2</v>
      </c>
      <c r="N196" s="18">
        <f t="shared" si="86"/>
        <v>4</v>
      </c>
      <c r="O196" s="19">
        <f t="shared" si="87"/>
        <v>1180.21944444444</v>
      </c>
      <c r="P196" s="19">
        <f t="shared" si="88"/>
        <v>944</v>
      </c>
      <c r="Q196" s="19">
        <f t="shared" si="89"/>
        <v>115</v>
      </c>
      <c r="R196" s="19">
        <f t="shared" si="90"/>
        <v>0</v>
      </c>
      <c r="S196" s="19">
        <f t="shared" si="91"/>
        <v>91</v>
      </c>
      <c r="T196" s="19">
        <f t="shared" si="92"/>
        <v>250</v>
      </c>
      <c r="U196" s="19">
        <f t="shared" si="93"/>
        <v>116.109875</v>
      </c>
      <c r="V196" s="19">
        <f t="shared" si="94"/>
        <v>242.66963875</v>
      </c>
      <c r="W196" s="19">
        <f t="shared" si="95"/>
        <v>13.225495311875</v>
      </c>
      <c r="X196" s="19">
        <f t="shared" si="96"/>
        <v>2952.22445350632</v>
      </c>
    </row>
    <row r="197" s="26" customFormat="1" customHeight="1" spans="1:24">
      <c r="A197" s="10">
        <v>193</v>
      </c>
      <c r="B197" s="11" t="s">
        <v>310</v>
      </c>
      <c r="C197" s="11" t="s">
        <v>305</v>
      </c>
      <c r="D197" s="11" t="s">
        <v>311</v>
      </c>
      <c r="E197" s="11" t="s">
        <v>24</v>
      </c>
      <c r="F197" s="11">
        <v>6.9</v>
      </c>
      <c r="G197" s="13">
        <v>23</v>
      </c>
      <c r="H197" s="14">
        <f>1+(F197-8)/8</f>
        <v>0.8625</v>
      </c>
      <c r="I197" s="17">
        <f>1+(G197-70)/7/10</f>
        <v>0.328571428571429</v>
      </c>
      <c r="J197" s="33">
        <v>1</v>
      </c>
      <c r="K197" s="17">
        <f t="shared" ref="K197:K219" si="119">H197*I197*J197</f>
        <v>0.283392857142857</v>
      </c>
      <c r="L197" s="17">
        <f>SQRT(6.9*6.9+12.08*12.08)*23/2</f>
        <v>159.984964606053</v>
      </c>
      <c r="M197" s="11">
        <v>0.8</v>
      </c>
      <c r="N197" s="18">
        <f t="shared" ref="N197:N219" si="120">IF(OR(M197&gt;7),1,IF(OR(M197&gt;5),2,IF(OR(M197&gt;3),3,IF(OR(M197&gt;1),4,5))))</f>
        <v>5</v>
      </c>
      <c r="O197" s="19">
        <f t="shared" ref="O197:O219" si="121">CHOOSE(N197,8630,7495,6057,4669,3686)*$K197</f>
        <v>1044.58607142857</v>
      </c>
      <c r="P197" s="19">
        <f t="shared" ref="P197:P219" si="122">CHOOSE(N197,2261,1756,1482,944,624)*J197</f>
        <v>624</v>
      </c>
      <c r="Q197" s="19">
        <f t="shared" ref="Q197:Q219" si="123">CHOOSE(N197,288,230,173,115,58)</f>
        <v>58</v>
      </c>
      <c r="R197" s="19">
        <f t="shared" ref="R197:R218" si="124">L197*3.41072</f>
        <v>545.663918481157</v>
      </c>
      <c r="S197" s="19">
        <f t="shared" ref="S197:S219" si="125">100000*F197*G197/2000*0.01</f>
        <v>79.35</v>
      </c>
      <c r="T197" s="19">
        <f t="shared" ref="T197:T219" si="126">6.25*40</f>
        <v>250</v>
      </c>
      <c r="U197" s="19">
        <f t="shared" ref="U197:U219" si="127">(O197+P197+Q197+R197+S197+T197)*0.045</f>
        <v>117.071999545938</v>
      </c>
      <c r="V197" s="19">
        <f t="shared" ref="V197:V219" si="128">(O197+P197+Q197+R197+S197+T197+U197)*0.09</f>
        <v>244.68047905101</v>
      </c>
      <c r="W197" s="19">
        <f t="shared" ref="W197:W219" si="129">(O197+P197+Q197+R197+S197+T197+U197+V197)*0.0045</f>
        <v>13.33508610828</v>
      </c>
      <c r="X197" s="19">
        <f t="shared" ref="X197:X219" si="130">SUM(O197:W197)</f>
        <v>2976.68755461496</v>
      </c>
    </row>
    <row r="198" s="26" customFormat="1" customHeight="1" spans="1:24">
      <c r="A198" s="10">
        <v>194</v>
      </c>
      <c r="B198" s="11" t="s">
        <v>312</v>
      </c>
      <c r="C198" s="11" t="s">
        <v>305</v>
      </c>
      <c r="D198" s="11" t="s">
        <v>306</v>
      </c>
      <c r="E198" s="11" t="s">
        <v>24</v>
      </c>
      <c r="F198" s="11">
        <v>7</v>
      </c>
      <c r="G198" s="13">
        <v>34.8</v>
      </c>
      <c r="H198" s="14">
        <f t="shared" ref="H198:H202" si="131">1+(F198-9)/9</f>
        <v>0.777777777777778</v>
      </c>
      <c r="I198" s="17">
        <f t="shared" ref="I198:I202" si="132">1+(G198-80)/8/10</f>
        <v>0.435</v>
      </c>
      <c r="J198" s="33">
        <v>1</v>
      </c>
      <c r="K198" s="17">
        <f t="shared" si="119"/>
        <v>0.338333333333333</v>
      </c>
      <c r="L198" s="17">
        <f>SQRT(7*7+12.25*12.25)*34.8/2</f>
        <v>245.495748435691</v>
      </c>
      <c r="M198" s="11">
        <v>1</v>
      </c>
      <c r="N198" s="18">
        <f t="shared" si="120"/>
        <v>5</v>
      </c>
      <c r="O198" s="19">
        <f t="shared" si="121"/>
        <v>1247.09666666667</v>
      </c>
      <c r="P198" s="19">
        <f t="shared" si="122"/>
        <v>624</v>
      </c>
      <c r="Q198" s="19">
        <f t="shared" si="123"/>
        <v>58</v>
      </c>
      <c r="R198" s="19">
        <f t="shared" si="124"/>
        <v>837.317259104579</v>
      </c>
      <c r="S198" s="19">
        <f t="shared" si="125"/>
        <v>121.8</v>
      </c>
      <c r="T198" s="19">
        <f t="shared" si="126"/>
        <v>250</v>
      </c>
      <c r="U198" s="19">
        <f t="shared" si="127"/>
        <v>141.219626659706</v>
      </c>
      <c r="V198" s="19">
        <f t="shared" si="128"/>
        <v>295.149019718786</v>
      </c>
      <c r="W198" s="19">
        <f t="shared" si="129"/>
        <v>16.0856215746738</v>
      </c>
      <c r="X198" s="19">
        <f t="shared" si="130"/>
        <v>3590.66819372441</v>
      </c>
    </row>
    <row r="199" s="26" customFormat="1" customHeight="1" spans="1:24">
      <c r="A199" s="10">
        <v>195</v>
      </c>
      <c r="B199" s="11" t="s">
        <v>313</v>
      </c>
      <c r="C199" s="11" t="s">
        <v>305</v>
      </c>
      <c r="D199" s="11" t="s">
        <v>314</v>
      </c>
      <c r="E199" s="11" t="s">
        <v>24</v>
      </c>
      <c r="F199" s="11">
        <v>15.1</v>
      </c>
      <c r="G199" s="13">
        <v>44.2</v>
      </c>
      <c r="H199" s="14">
        <f t="shared" si="131"/>
        <v>1.67777777777778</v>
      </c>
      <c r="I199" s="17">
        <f t="shared" si="132"/>
        <v>0.5525</v>
      </c>
      <c r="J199" s="33">
        <v>1</v>
      </c>
      <c r="K199" s="17">
        <f t="shared" si="119"/>
        <v>0.926972222222222</v>
      </c>
      <c r="L199" s="17">
        <f>SQRT(15.1*15.1+30.2*30.2)*44.2/2</f>
        <v>746.198244771455</v>
      </c>
      <c r="M199" s="11">
        <v>1.3</v>
      </c>
      <c r="N199" s="18">
        <f t="shared" si="120"/>
        <v>4</v>
      </c>
      <c r="O199" s="19">
        <f t="shared" si="121"/>
        <v>4328.03330555555</v>
      </c>
      <c r="P199" s="19">
        <f t="shared" si="122"/>
        <v>944</v>
      </c>
      <c r="Q199" s="19">
        <f t="shared" si="123"/>
        <v>115</v>
      </c>
      <c r="R199" s="19">
        <f t="shared" si="124"/>
        <v>2545.0732774069</v>
      </c>
      <c r="S199" s="19">
        <f t="shared" si="125"/>
        <v>333.71</v>
      </c>
      <c r="T199" s="19">
        <f t="shared" si="126"/>
        <v>250</v>
      </c>
      <c r="U199" s="19">
        <f t="shared" si="127"/>
        <v>383.21174623331</v>
      </c>
      <c r="V199" s="19">
        <f t="shared" si="128"/>
        <v>800.912549627619</v>
      </c>
      <c r="W199" s="19">
        <f t="shared" si="129"/>
        <v>43.6497339547052</v>
      </c>
      <c r="X199" s="19">
        <f t="shared" si="130"/>
        <v>9743.59061277809</v>
      </c>
    </row>
    <row r="200" s="26" customFormat="1" customHeight="1" spans="1:24">
      <c r="A200" s="10">
        <v>196</v>
      </c>
      <c r="B200" s="11" t="s">
        <v>315</v>
      </c>
      <c r="C200" s="11" t="s">
        <v>305</v>
      </c>
      <c r="D200" s="11" t="s">
        <v>316</v>
      </c>
      <c r="E200" s="11" t="s">
        <v>24</v>
      </c>
      <c r="F200" s="11">
        <v>13</v>
      </c>
      <c r="G200" s="13">
        <v>42</v>
      </c>
      <c r="H200" s="14">
        <f t="shared" si="131"/>
        <v>1.44444444444444</v>
      </c>
      <c r="I200" s="17">
        <f t="shared" si="132"/>
        <v>0.525</v>
      </c>
      <c r="J200" s="33">
        <v>1</v>
      </c>
      <c r="K200" s="17">
        <f t="shared" si="119"/>
        <v>0.758333333333333</v>
      </c>
      <c r="L200" s="17">
        <f>SQRT(13*13+22.75*22.75)*42/2</f>
        <v>550.249091321376</v>
      </c>
      <c r="M200" s="11">
        <v>2.2</v>
      </c>
      <c r="N200" s="18">
        <f t="shared" si="120"/>
        <v>4</v>
      </c>
      <c r="O200" s="19">
        <f t="shared" si="121"/>
        <v>3540.65833333333</v>
      </c>
      <c r="P200" s="19">
        <f t="shared" si="122"/>
        <v>944</v>
      </c>
      <c r="Q200" s="19">
        <f t="shared" si="123"/>
        <v>115</v>
      </c>
      <c r="R200" s="19">
        <f t="shared" si="124"/>
        <v>1876.74558075164</v>
      </c>
      <c r="S200" s="19">
        <f t="shared" si="125"/>
        <v>273</v>
      </c>
      <c r="T200" s="19">
        <f t="shared" si="126"/>
        <v>250</v>
      </c>
      <c r="U200" s="19">
        <f t="shared" si="127"/>
        <v>314.973176133824</v>
      </c>
      <c r="V200" s="19">
        <f t="shared" si="128"/>
        <v>658.293938119692</v>
      </c>
      <c r="W200" s="19">
        <f t="shared" si="129"/>
        <v>35.8770196275232</v>
      </c>
      <c r="X200" s="19">
        <f t="shared" si="130"/>
        <v>8008.54804796602</v>
      </c>
    </row>
    <row r="201" s="26" customFormat="1" customHeight="1" spans="1:24">
      <c r="A201" s="10">
        <v>197</v>
      </c>
      <c r="B201" s="11" t="s">
        <v>317</v>
      </c>
      <c r="C201" s="11" t="s">
        <v>305</v>
      </c>
      <c r="D201" s="11" t="s">
        <v>314</v>
      </c>
      <c r="E201" s="11" t="s">
        <v>24</v>
      </c>
      <c r="F201" s="11">
        <v>10</v>
      </c>
      <c r="G201" s="13">
        <v>30</v>
      </c>
      <c r="H201" s="14">
        <f t="shared" si="131"/>
        <v>1.11111111111111</v>
      </c>
      <c r="I201" s="17">
        <f t="shared" si="132"/>
        <v>0.375</v>
      </c>
      <c r="J201" s="33">
        <v>1</v>
      </c>
      <c r="K201" s="17">
        <f t="shared" si="119"/>
        <v>0.416666666666667</v>
      </c>
      <c r="L201" s="17">
        <f>SQRT(10*10+17.5*17.5)*30/2</f>
        <v>302.334665561196</v>
      </c>
      <c r="M201" s="11">
        <v>1</v>
      </c>
      <c r="N201" s="18">
        <f t="shared" si="120"/>
        <v>5</v>
      </c>
      <c r="O201" s="19">
        <f t="shared" si="121"/>
        <v>1535.83333333333</v>
      </c>
      <c r="P201" s="19">
        <f t="shared" si="122"/>
        <v>624</v>
      </c>
      <c r="Q201" s="19">
        <f t="shared" si="123"/>
        <v>58</v>
      </c>
      <c r="R201" s="19">
        <f t="shared" si="124"/>
        <v>1031.17889052288</v>
      </c>
      <c r="S201" s="19">
        <f t="shared" si="125"/>
        <v>150</v>
      </c>
      <c r="T201" s="19">
        <f t="shared" si="126"/>
        <v>250</v>
      </c>
      <c r="U201" s="19">
        <f t="shared" si="127"/>
        <v>164.20555007353</v>
      </c>
      <c r="V201" s="19">
        <f t="shared" si="128"/>
        <v>343.189599653677</v>
      </c>
      <c r="W201" s="19">
        <f t="shared" si="129"/>
        <v>18.7038331811254</v>
      </c>
      <c r="X201" s="19">
        <f t="shared" si="130"/>
        <v>4175.11120676455</v>
      </c>
    </row>
    <row r="202" s="26" customFormat="1" customHeight="1" spans="1:24">
      <c r="A202" s="10">
        <v>198</v>
      </c>
      <c r="B202" s="11" t="s">
        <v>318</v>
      </c>
      <c r="C202" s="11" t="s">
        <v>305</v>
      </c>
      <c r="D202" s="11" t="s">
        <v>308</v>
      </c>
      <c r="E202" s="11" t="s">
        <v>24</v>
      </c>
      <c r="F202" s="11">
        <v>9.5</v>
      </c>
      <c r="G202" s="13">
        <v>43</v>
      </c>
      <c r="H202" s="14">
        <f t="shared" si="131"/>
        <v>1.05555555555556</v>
      </c>
      <c r="I202" s="17">
        <f t="shared" si="132"/>
        <v>0.5375</v>
      </c>
      <c r="J202" s="33">
        <v>1</v>
      </c>
      <c r="K202" s="17">
        <f t="shared" si="119"/>
        <v>0.567361111111111</v>
      </c>
      <c r="L202" s="17">
        <f>SQRT(10.5*10.5+19.95+19.95)*43</f>
        <v>526.90354904859</v>
      </c>
      <c r="M202" s="11">
        <v>1.25</v>
      </c>
      <c r="N202" s="18">
        <f t="shared" si="120"/>
        <v>4</v>
      </c>
      <c r="O202" s="19">
        <f t="shared" si="121"/>
        <v>2649.00902777778</v>
      </c>
      <c r="P202" s="19">
        <f t="shared" si="122"/>
        <v>944</v>
      </c>
      <c r="Q202" s="19">
        <f t="shared" si="123"/>
        <v>115</v>
      </c>
      <c r="R202" s="19">
        <f t="shared" si="124"/>
        <v>1797.12047281101</v>
      </c>
      <c r="S202" s="19">
        <f t="shared" si="125"/>
        <v>204.25</v>
      </c>
      <c r="T202" s="19">
        <f t="shared" si="126"/>
        <v>250</v>
      </c>
      <c r="U202" s="19">
        <f t="shared" si="127"/>
        <v>268.172077526495</v>
      </c>
      <c r="V202" s="19">
        <f t="shared" si="128"/>
        <v>560.479642030375</v>
      </c>
      <c r="W202" s="19">
        <f t="shared" si="129"/>
        <v>30.5461404906554</v>
      </c>
      <c r="X202" s="19">
        <f t="shared" si="130"/>
        <v>6818.57736063631</v>
      </c>
    </row>
    <row r="203" s="26" customFormat="1" customHeight="1" spans="1:24">
      <c r="A203" s="10">
        <v>199</v>
      </c>
      <c r="B203" s="11" t="s">
        <v>319</v>
      </c>
      <c r="C203" s="11" t="s">
        <v>305</v>
      </c>
      <c r="D203" s="11" t="s">
        <v>320</v>
      </c>
      <c r="E203" s="11" t="s">
        <v>24</v>
      </c>
      <c r="F203" s="11">
        <v>6</v>
      </c>
      <c r="G203" s="13">
        <v>40.5</v>
      </c>
      <c r="H203" s="14">
        <f t="shared" ref="H203:H206" si="133">1+(F203-8)/8</f>
        <v>0.75</v>
      </c>
      <c r="I203" s="17">
        <f t="shared" ref="I203:I206" si="134">1+(G203-70)/7/10</f>
        <v>0.578571428571429</v>
      </c>
      <c r="J203" s="33">
        <v>1</v>
      </c>
      <c r="K203" s="17">
        <f t="shared" si="119"/>
        <v>0.433928571428571</v>
      </c>
      <c r="L203" s="17">
        <f>SQRT(6*6+10.5*10.5)*40.5/2</f>
        <v>244.891079104568</v>
      </c>
      <c r="M203" s="11">
        <v>0.8</v>
      </c>
      <c r="N203" s="18">
        <f t="shared" si="120"/>
        <v>5</v>
      </c>
      <c r="O203" s="19">
        <f t="shared" si="121"/>
        <v>1599.46071428571</v>
      </c>
      <c r="P203" s="19">
        <f t="shared" si="122"/>
        <v>624</v>
      </c>
      <c r="Q203" s="19">
        <f t="shared" si="123"/>
        <v>58</v>
      </c>
      <c r="R203" s="19">
        <f t="shared" si="124"/>
        <v>835.254901323534</v>
      </c>
      <c r="S203" s="19">
        <f t="shared" si="125"/>
        <v>121.5</v>
      </c>
      <c r="T203" s="19">
        <f t="shared" si="126"/>
        <v>250</v>
      </c>
      <c r="U203" s="19">
        <f t="shared" si="127"/>
        <v>156.969702702416</v>
      </c>
      <c r="V203" s="19">
        <f t="shared" si="128"/>
        <v>328.06667864805</v>
      </c>
      <c r="W203" s="19">
        <f t="shared" si="129"/>
        <v>17.8796339863187</v>
      </c>
      <c r="X203" s="19">
        <f t="shared" si="130"/>
        <v>3991.13163094603</v>
      </c>
    </row>
    <row r="204" s="26" customFormat="1" customHeight="1" spans="1:24">
      <c r="A204" s="10">
        <v>200</v>
      </c>
      <c r="B204" s="11" t="s">
        <v>321</v>
      </c>
      <c r="C204" s="11" t="s">
        <v>305</v>
      </c>
      <c r="D204" s="11" t="s">
        <v>306</v>
      </c>
      <c r="E204" s="11" t="s">
        <v>24</v>
      </c>
      <c r="F204" s="11">
        <v>7</v>
      </c>
      <c r="G204" s="13">
        <v>32.35</v>
      </c>
      <c r="H204" s="14">
        <f t="shared" si="133"/>
        <v>0.875</v>
      </c>
      <c r="I204" s="17">
        <f t="shared" si="134"/>
        <v>0.462142857142857</v>
      </c>
      <c r="J204" s="33">
        <v>1</v>
      </c>
      <c r="K204" s="17">
        <f t="shared" si="119"/>
        <v>0.404375</v>
      </c>
      <c r="L204" s="17">
        <f>SQRT(7*7+14*14)*32.35</f>
        <v>506.357593504827</v>
      </c>
      <c r="M204" s="11">
        <v>0.8</v>
      </c>
      <c r="N204" s="18">
        <f t="shared" si="120"/>
        <v>5</v>
      </c>
      <c r="O204" s="19">
        <f t="shared" si="121"/>
        <v>1490.52625</v>
      </c>
      <c r="P204" s="19">
        <f t="shared" si="122"/>
        <v>624</v>
      </c>
      <c r="Q204" s="19">
        <f t="shared" si="123"/>
        <v>58</v>
      </c>
      <c r="R204" s="19">
        <f t="shared" si="124"/>
        <v>1727.04397131878</v>
      </c>
      <c r="S204" s="19">
        <f t="shared" si="125"/>
        <v>113.225</v>
      </c>
      <c r="T204" s="19">
        <f t="shared" si="126"/>
        <v>250</v>
      </c>
      <c r="U204" s="19">
        <f t="shared" si="127"/>
        <v>191.825784959345</v>
      </c>
      <c r="V204" s="19">
        <f t="shared" si="128"/>
        <v>400.915890565032</v>
      </c>
      <c r="W204" s="19">
        <f t="shared" si="129"/>
        <v>21.8499160357942</v>
      </c>
      <c r="X204" s="19">
        <f t="shared" si="130"/>
        <v>4877.38681287896</v>
      </c>
    </row>
    <row r="205" s="26" customFormat="1" customHeight="1" spans="1:24">
      <c r="A205" s="10">
        <v>201</v>
      </c>
      <c r="B205" s="11" t="s">
        <v>322</v>
      </c>
      <c r="C205" s="11" t="s">
        <v>305</v>
      </c>
      <c r="D205" s="11" t="s">
        <v>323</v>
      </c>
      <c r="E205" s="11" t="s">
        <v>24</v>
      </c>
      <c r="F205" s="11">
        <v>9</v>
      </c>
      <c r="G205" s="13">
        <v>59</v>
      </c>
      <c r="H205" s="14">
        <f t="shared" ref="H205:H208" si="135">1+(F205-9)/9</f>
        <v>1</v>
      </c>
      <c r="I205" s="17">
        <f t="shared" ref="I205:I208" si="136">1+(G205-80)/8/10</f>
        <v>0.7375</v>
      </c>
      <c r="J205" s="33">
        <v>1</v>
      </c>
      <c r="K205" s="17">
        <f t="shared" si="119"/>
        <v>0.7375</v>
      </c>
      <c r="L205" s="17">
        <f>SQRT(9*9+18*18)*59/2</f>
        <v>593.676048026194</v>
      </c>
      <c r="M205" s="11">
        <v>1</v>
      </c>
      <c r="N205" s="18">
        <f t="shared" si="120"/>
        <v>5</v>
      </c>
      <c r="O205" s="19">
        <f t="shared" si="121"/>
        <v>2718.425</v>
      </c>
      <c r="P205" s="19">
        <f t="shared" si="122"/>
        <v>624</v>
      </c>
      <c r="Q205" s="19">
        <f t="shared" si="123"/>
        <v>58</v>
      </c>
      <c r="R205" s="19">
        <f t="shared" si="124"/>
        <v>2024.8627705239</v>
      </c>
      <c r="S205" s="19">
        <f t="shared" si="125"/>
        <v>265.5</v>
      </c>
      <c r="T205" s="19">
        <f t="shared" si="126"/>
        <v>250</v>
      </c>
      <c r="U205" s="19">
        <f t="shared" si="127"/>
        <v>267.335449673576</v>
      </c>
      <c r="V205" s="19">
        <f t="shared" si="128"/>
        <v>558.731089817773</v>
      </c>
      <c r="W205" s="19">
        <f t="shared" si="129"/>
        <v>30.4508443950686</v>
      </c>
      <c r="X205" s="19">
        <f t="shared" si="130"/>
        <v>6797.30515441032</v>
      </c>
    </row>
    <row r="206" s="26" customFormat="1" customHeight="1" spans="1:24">
      <c r="A206" s="10">
        <v>202</v>
      </c>
      <c r="B206" s="11" t="s">
        <v>324</v>
      </c>
      <c r="C206" s="11" t="s">
        <v>305</v>
      </c>
      <c r="D206" s="11" t="s">
        <v>308</v>
      </c>
      <c r="E206" s="11" t="s">
        <v>24</v>
      </c>
      <c r="F206" s="11">
        <v>8.2</v>
      </c>
      <c r="G206" s="13">
        <v>31</v>
      </c>
      <c r="H206" s="14">
        <f t="shared" si="133"/>
        <v>1.025</v>
      </c>
      <c r="I206" s="17">
        <f t="shared" si="134"/>
        <v>0.442857142857143</v>
      </c>
      <c r="J206" s="33">
        <v>1</v>
      </c>
      <c r="K206" s="17">
        <f t="shared" si="119"/>
        <v>0.453928571428571</v>
      </c>
      <c r="L206" s="17">
        <f>SQRT(6*6+12*12)*31/2</f>
        <v>207.95432190748</v>
      </c>
      <c r="M206" s="11">
        <v>0.8</v>
      </c>
      <c r="N206" s="18">
        <f t="shared" si="120"/>
        <v>5</v>
      </c>
      <c r="O206" s="19">
        <f t="shared" si="121"/>
        <v>1673.18071428571</v>
      </c>
      <c r="P206" s="19">
        <f t="shared" si="122"/>
        <v>624</v>
      </c>
      <c r="Q206" s="19">
        <f t="shared" si="123"/>
        <v>58</v>
      </c>
      <c r="R206" s="19">
        <f t="shared" si="124"/>
        <v>709.273964816282</v>
      </c>
      <c r="S206" s="19">
        <f t="shared" si="125"/>
        <v>127.1</v>
      </c>
      <c r="T206" s="19">
        <f t="shared" si="126"/>
        <v>250</v>
      </c>
      <c r="U206" s="19">
        <f t="shared" si="127"/>
        <v>154.86996055959</v>
      </c>
      <c r="V206" s="19">
        <f t="shared" si="128"/>
        <v>323.678217569543</v>
      </c>
      <c r="W206" s="19">
        <f t="shared" si="129"/>
        <v>17.6404628575401</v>
      </c>
      <c r="X206" s="19">
        <f t="shared" si="130"/>
        <v>3937.74332008867</v>
      </c>
    </row>
    <row r="207" s="26" customFormat="1" customHeight="1" spans="1:24">
      <c r="A207" s="10">
        <v>203</v>
      </c>
      <c r="B207" s="11" t="s">
        <v>325</v>
      </c>
      <c r="C207" s="11" t="s">
        <v>305</v>
      </c>
      <c r="D207" s="11" t="s">
        <v>306</v>
      </c>
      <c r="E207" s="11" t="s">
        <v>24</v>
      </c>
      <c r="F207" s="11">
        <v>9.8</v>
      </c>
      <c r="G207" s="13">
        <v>36.85</v>
      </c>
      <c r="H207" s="14">
        <f t="shared" si="135"/>
        <v>1.08888888888889</v>
      </c>
      <c r="I207" s="17">
        <f t="shared" si="136"/>
        <v>0.460625</v>
      </c>
      <c r="J207" s="33">
        <v>1</v>
      </c>
      <c r="K207" s="17">
        <f t="shared" si="119"/>
        <v>0.501569444444445</v>
      </c>
      <c r="L207" s="17">
        <f>SQRT(10.6*10.6+21.2*21.2)*42.4</f>
        <v>1004.97839180751</v>
      </c>
      <c r="M207" s="11">
        <v>1.15</v>
      </c>
      <c r="N207" s="18">
        <f t="shared" si="120"/>
        <v>4</v>
      </c>
      <c r="O207" s="19">
        <f t="shared" si="121"/>
        <v>2341.82773611111</v>
      </c>
      <c r="P207" s="19">
        <f t="shared" si="122"/>
        <v>944</v>
      </c>
      <c r="Q207" s="19">
        <f t="shared" si="123"/>
        <v>115</v>
      </c>
      <c r="R207" s="19">
        <f t="shared" si="124"/>
        <v>3427.6999005057</v>
      </c>
      <c r="S207" s="19">
        <f t="shared" si="125"/>
        <v>180.565</v>
      </c>
      <c r="T207" s="19">
        <f t="shared" si="126"/>
        <v>250</v>
      </c>
      <c r="U207" s="19">
        <f t="shared" si="127"/>
        <v>326.659168647756</v>
      </c>
      <c r="V207" s="19">
        <f t="shared" si="128"/>
        <v>682.717662473811</v>
      </c>
      <c r="W207" s="19">
        <f t="shared" si="129"/>
        <v>37.2081126048227</v>
      </c>
      <c r="X207" s="19">
        <f t="shared" si="130"/>
        <v>8305.6775803432</v>
      </c>
    </row>
    <row r="208" s="26" customFormat="1" customHeight="1" spans="1:24">
      <c r="A208" s="10">
        <v>204</v>
      </c>
      <c r="B208" s="11" t="s">
        <v>326</v>
      </c>
      <c r="C208" s="11" t="s">
        <v>327</v>
      </c>
      <c r="D208" s="11" t="s">
        <v>328</v>
      </c>
      <c r="E208" s="11" t="s">
        <v>24</v>
      </c>
      <c r="F208" s="11">
        <v>11.25</v>
      </c>
      <c r="G208" s="13">
        <v>30.81</v>
      </c>
      <c r="H208" s="14">
        <f t="shared" si="135"/>
        <v>1.25</v>
      </c>
      <c r="I208" s="17">
        <f t="shared" si="136"/>
        <v>0.385125</v>
      </c>
      <c r="J208" s="33">
        <v>1</v>
      </c>
      <c r="K208" s="17">
        <f t="shared" si="119"/>
        <v>0.48140625</v>
      </c>
      <c r="L208" s="17">
        <f>SQRT(11.25*11.25+20.25*20.25)*30.81/2</f>
        <v>356.859410224286</v>
      </c>
      <c r="M208" s="11">
        <v>1</v>
      </c>
      <c r="N208" s="18">
        <f t="shared" si="120"/>
        <v>5</v>
      </c>
      <c r="O208" s="19">
        <f t="shared" si="121"/>
        <v>1774.4634375</v>
      </c>
      <c r="P208" s="19">
        <f t="shared" si="122"/>
        <v>624</v>
      </c>
      <c r="Q208" s="19">
        <f t="shared" si="123"/>
        <v>58</v>
      </c>
      <c r="R208" s="19">
        <f t="shared" si="124"/>
        <v>1217.14752764018</v>
      </c>
      <c r="S208" s="19">
        <f t="shared" si="125"/>
        <v>173.30625</v>
      </c>
      <c r="T208" s="19">
        <f t="shared" si="126"/>
        <v>250</v>
      </c>
      <c r="U208" s="19">
        <f t="shared" si="127"/>
        <v>184.361274681308</v>
      </c>
      <c r="V208" s="19">
        <f t="shared" si="128"/>
        <v>385.315064083934</v>
      </c>
      <c r="W208" s="19">
        <f t="shared" si="129"/>
        <v>20.9996709925744</v>
      </c>
      <c r="X208" s="19">
        <f t="shared" si="130"/>
        <v>4687.59322489799</v>
      </c>
    </row>
    <row r="209" s="26" customFormat="1" customHeight="1" spans="1:24">
      <c r="A209" s="10">
        <v>205</v>
      </c>
      <c r="B209" s="11" t="s">
        <v>329</v>
      </c>
      <c r="C209" s="11" t="s">
        <v>327</v>
      </c>
      <c r="D209" s="11" t="s">
        <v>330</v>
      </c>
      <c r="E209" s="11" t="s">
        <v>24</v>
      </c>
      <c r="F209" s="11">
        <v>7</v>
      </c>
      <c r="G209" s="13">
        <v>21</v>
      </c>
      <c r="H209" s="14">
        <f t="shared" ref="H209:H214" si="137">1+(F209-8)/8</f>
        <v>0.875</v>
      </c>
      <c r="I209" s="17">
        <f t="shared" ref="I209:I214" si="138">1+(G209-70)/7/10</f>
        <v>0.3</v>
      </c>
      <c r="J209" s="33">
        <v>1</v>
      </c>
      <c r="K209" s="17">
        <f t="shared" si="119"/>
        <v>0.2625</v>
      </c>
      <c r="L209" s="17">
        <f>SQRT(7*7+12.25*12.25)*21</f>
        <v>296.287972249972</v>
      </c>
      <c r="M209" s="11">
        <v>0.9</v>
      </c>
      <c r="N209" s="18">
        <f t="shared" si="120"/>
        <v>5</v>
      </c>
      <c r="O209" s="19">
        <f t="shared" si="121"/>
        <v>967.575</v>
      </c>
      <c r="P209" s="19">
        <f t="shared" si="122"/>
        <v>624</v>
      </c>
      <c r="Q209" s="19">
        <f t="shared" si="123"/>
        <v>58</v>
      </c>
      <c r="R209" s="19">
        <f t="shared" si="124"/>
        <v>1010.55531271242</v>
      </c>
      <c r="S209" s="19">
        <f t="shared" si="125"/>
        <v>73.5</v>
      </c>
      <c r="T209" s="19">
        <f t="shared" si="126"/>
        <v>250</v>
      </c>
      <c r="U209" s="19">
        <f t="shared" si="127"/>
        <v>134.263364072059</v>
      </c>
      <c r="V209" s="19">
        <f t="shared" si="128"/>
        <v>280.610430910603</v>
      </c>
      <c r="W209" s="19">
        <f t="shared" si="129"/>
        <v>15.2932684846279</v>
      </c>
      <c r="X209" s="19">
        <f t="shared" si="130"/>
        <v>3413.79737617971</v>
      </c>
    </row>
    <row r="210" s="26" customFormat="1" customHeight="1" spans="1:24">
      <c r="A210" s="10">
        <v>206</v>
      </c>
      <c r="B210" s="11" t="s">
        <v>331</v>
      </c>
      <c r="C210" s="11" t="s">
        <v>327</v>
      </c>
      <c r="D210" s="11" t="s">
        <v>332</v>
      </c>
      <c r="E210" s="11" t="s">
        <v>24</v>
      </c>
      <c r="F210" s="11">
        <v>8.5</v>
      </c>
      <c r="G210" s="13">
        <v>57</v>
      </c>
      <c r="H210" s="14">
        <f t="shared" ref="H210:H212" si="139">1+(F210-9)/9</f>
        <v>0.944444444444444</v>
      </c>
      <c r="I210" s="17">
        <f t="shared" ref="I210:I212" si="140">1+(G210-80)/8/10</f>
        <v>0.7125</v>
      </c>
      <c r="J210" s="33">
        <v>1</v>
      </c>
      <c r="K210" s="17">
        <f t="shared" si="119"/>
        <v>0.672916666666667</v>
      </c>
      <c r="L210" s="17">
        <f>SQRT(8.5*8.5+17*17)*57</f>
        <v>1083.37493509865</v>
      </c>
      <c r="M210" s="11">
        <v>1.05</v>
      </c>
      <c r="N210" s="18">
        <f t="shared" si="120"/>
        <v>4</v>
      </c>
      <c r="O210" s="19">
        <f t="shared" si="121"/>
        <v>3141.84791666667</v>
      </c>
      <c r="P210" s="19">
        <f t="shared" si="122"/>
        <v>944</v>
      </c>
      <c r="Q210" s="19">
        <f t="shared" si="123"/>
        <v>115</v>
      </c>
      <c r="R210" s="19">
        <f t="shared" si="124"/>
        <v>3695.08855863966</v>
      </c>
      <c r="S210" s="19">
        <f t="shared" si="125"/>
        <v>242.25</v>
      </c>
      <c r="T210" s="19">
        <f t="shared" si="126"/>
        <v>250</v>
      </c>
      <c r="U210" s="19">
        <f t="shared" si="127"/>
        <v>377.468391388785</v>
      </c>
      <c r="V210" s="19">
        <f t="shared" si="128"/>
        <v>788.90893800256</v>
      </c>
      <c r="W210" s="19">
        <f t="shared" si="129"/>
        <v>42.9955371211395</v>
      </c>
      <c r="X210" s="19">
        <f t="shared" si="130"/>
        <v>9597.55934181881</v>
      </c>
    </row>
    <row r="211" s="26" customFormat="1" customHeight="1" spans="1:24">
      <c r="A211" s="10">
        <v>207</v>
      </c>
      <c r="B211" s="11" t="s">
        <v>333</v>
      </c>
      <c r="C211" s="11" t="s">
        <v>327</v>
      </c>
      <c r="D211" s="11" t="s">
        <v>328</v>
      </c>
      <c r="E211" s="11" t="s">
        <v>24</v>
      </c>
      <c r="F211" s="11">
        <v>9.8</v>
      </c>
      <c r="G211" s="13">
        <v>37.5</v>
      </c>
      <c r="H211" s="14">
        <f t="shared" si="139"/>
        <v>1.08888888888889</v>
      </c>
      <c r="I211" s="17">
        <f t="shared" si="140"/>
        <v>0.46875</v>
      </c>
      <c r="J211" s="33">
        <v>1</v>
      </c>
      <c r="K211" s="17">
        <f t="shared" si="119"/>
        <v>0.510416666666667</v>
      </c>
      <c r="L211" s="17">
        <f>SQRT(9.8*9.8+17.15*17.15)*37.5</f>
        <v>740.719930624929</v>
      </c>
      <c r="M211" s="11">
        <v>1.2</v>
      </c>
      <c r="N211" s="18">
        <f t="shared" si="120"/>
        <v>4</v>
      </c>
      <c r="O211" s="19">
        <f t="shared" si="121"/>
        <v>2383.13541666667</v>
      </c>
      <c r="P211" s="19">
        <f t="shared" si="122"/>
        <v>944</v>
      </c>
      <c r="Q211" s="19">
        <f t="shared" si="123"/>
        <v>115</v>
      </c>
      <c r="R211" s="19">
        <f t="shared" si="124"/>
        <v>2526.38828178106</v>
      </c>
      <c r="S211" s="19">
        <f t="shared" si="125"/>
        <v>183.75</v>
      </c>
      <c r="T211" s="19">
        <f t="shared" si="126"/>
        <v>250</v>
      </c>
      <c r="U211" s="19">
        <f t="shared" si="127"/>
        <v>288.102316430148</v>
      </c>
      <c r="V211" s="19">
        <f t="shared" si="128"/>
        <v>602.133841339009</v>
      </c>
      <c r="W211" s="19">
        <f t="shared" si="129"/>
        <v>32.816294352976</v>
      </c>
      <c r="X211" s="19">
        <f t="shared" si="130"/>
        <v>7325.32615056986</v>
      </c>
    </row>
    <row r="212" s="26" customFormat="1" customHeight="1" spans="1:24">
      <c r="A212" s="10">
        <v>208</v>
      </c>
      <c r="B212" s="11" t="s">
        <v>334</v>
      </c>
      <c r="C212" s="11" t="s">
        <v>327</v>
      </c>
      <c r="D212" s="11" t="s">
        <v>335</v>
      </c>
      <c r="E212" s="11" t="s">
        <v>24</v>
      </c>
      <c r="F212" s="11">
        <v>8.25</v>
      </c>
      <c r="G212" s="13">
        <v>37</v>
      </c>
      <c r="H212" s="14">
        <f t="shared" si="139"/>
        <v>0.916666666666667</v>
      </c>
      <c r="I212" s="17">
        <f t="shared" si="140"/>
        <v>0.4625</v>
      </c>
      <c r="J212" s="33">
        <v>1</v>
      </c>
      <c r="K212" s="17">
        <f t="shared" si="119"/>
        <v>0.423958333333333</v>
      </c>
      <c r="L212" s="17">
        <f>SQRT(8.25*8.25+14.44*14.44)*37</f>
        <v>615.331358619078</v>
      </c>
      <c r="M212" s="11">
        <v>1</v>
      </c>
      <c r="N212" s="18">
        <f t="shared" si="120"/>
        <v>5</v>
      </c>
      <c r="O212" s="19">
        <f t="shared" si="121"/>
        <v>1562.71041666667</v>
      </c>
      <c r="P212" s="19">
        <f t="shared" si="122"/>
        <v>624</v>
      </c>
      <c r="Q212" s="19">
        <f t="shared" si="123"/>
        <v>58</v>
      </c>
      <c r="R212" s="19">
        <f t="shared" si="124"/>
        <v>2098.72297146926</v>
      </c>
      <c r="S212" s="19">
        <f t="shared" si="125"/>
        <v>152.625</v>
      </c>
      <c r="T212" s="19">
        <f t="shared" si="126"/>
        <v>250</v>
      </c>
      <c r="U212" s="19">
        <f t="shared" si="127"/>
        <v>213.572627466117</v>
      </c>
      <c r="V212" s="19">
        <f t="shared" si="128"/>
        <v>446.366791404184</v>
      </c>
      <c r="W212" s="19">
        <f t="shared" si="129"/>
        <v>24.326990131528</v>
      </c>
      <c r="X212" s="19">
        <f t="shared" si="130"/>
        <v>5430.32479713776</v>
      </c>
    </row>
    <row r="213" s="26" customFormat="1" customHeight="1" spans="1:24">
      <c r="A213" s="10">
        <v>209</v>
      </c>
      <c r="B213" s="11" t="s">
        <v>336</v>
      </c>
      <c r="C213" s="11" t="s">
        <v>327</v>
      </c>
      <c r="D213" s="11" t="s">
        <v>335</v>
      </c>
      <c r="E213" s="11" t="s">
        <v>24</v>
      </c>
      <c r="F213" s="11">
        <v>6.5</v>
      </c>
      <c r="G213" s="13">
        <v>27.72</v>
      </c>
      <c r="H213" s="14">
        <f t="shared" si="137"/>
        <v>0.8125</v>
      </c>
      <c r="I213" s="17">
        <f t="shared" si="138"/>
        <v>0.396</v>
      </c>
      <c r="J213" s="33">
        <v>1</v>
      </c>
      <c r="K213" s="17">
        <f t="shared" si="119"/>
        <v>0.32175</v>
      </c>
      <c r="L213" s="17">
        <f>SQRT(6.5*6.5+11.7*11.7)*27.72</f>
        <v>371.013327760608</v>
      </c>
      <c r="M213" s="11">
        <v>0.8</v>
      </c>
      <c r="N213" s="18">
        <f t="shared" si="120"/>
        <v>5</v>
      </c>
      <c r="O213" s="19">
        <f t="shared" si="121"/>
        <v>1185.9705</v>
      </c>
      <c r="P213" s="19">
        <f t="shared" si="122"/>
        <v>624</v>
      </c>
      <c r="Q213" s="19">
        <f t="shared" si="123"/>
        <v>58</v>
      </c>
      <c r="R213" s="19">
        <f t="shared" si="124"/>
        <v>1265.42257725966</v>
      </c>
      <c r="S213" s="19">
        <f t="shared" si="125"/>
        <v>90.09</v>
      </c>
      <c r="T213" s="19">
        <f t="shared" si="126"/>
        <v>250</v>
      </c>
      <c r="U213" s="19">
        <f t="shared" si="127"/>
        <v>156.306738476685</v>
      </c>
      <c r="V213" s="19">
        <f t="shared" si="128"/>
        <v>326.681083416271</v>
      </c>
      <c r="W213" s="19">
        <f t="shared" si="129"/>
        <v>17.8041190461868</v>
      </c>
      <c r="X213" s="19">
        <f t="shared" si="130"/>
        <v>3974.2750181988</v>
      </c>
    </row>
    <row r="214" s="26" customFormat="1" customHeight="1" spans="1:24">
      <c r="A214" s="10">
        <v>210</v>
      </c>
      <c r="B214" s="32" t="s">
        <v>337</v>
      </c>
      <c r="C214" s="11" t="s">
        <v>327</v>
      </c>
      <c r="D214" s="11" t="s">
        <v>338</v>
      </c>
      <c r="E214" s="11" t="s">
        <v>24</v>
      </c>
      <c r="F214" s="11">
        <v>5</v>
      </c>
      <c r="G214" s="13">
        <v>22</v>
      </c>
      <c r="H214" s="14">
        <f t="shared" si="137"/>
        <v>0.625</v>
      </c>
      <c r="I214" s="17">
        <f t="shared" si="138"/>
        <v>0.314285714285714</v>
      </c>
      <c r="J214" s="33">
        <v>1</v>
      </c>
      <c r="K214" s="17">
        <f t="shared" si="119"/>
        <v>0.196428571428571</v>
      </c>
      <c r="L214" s="17">
        <f>SQRT(5*5+3.25*3.25)*22</f>
        <v>131.195464860642</v>
      </c>
      <c r="M214" s="11">
        <v>0.22</v>
      </c>
      <c r="N214" s="18">
        <f t="shared" si="120"/>
        <v>5</v>
      </c>
      <c r="O214" s="19">
        <f t="shared" si="121"/>
        <v>724.035714285714</v>
      </c>
      <c r="P214" s="19">
        <f t="shared" si="122"/>
        <v>624</v>
      </c>
      <c r="Q214" s="19">
        <f t="shared" si="123"/>
        <v>58</v>
      </c>
      <c r="R214" s="19">
        <f t="shared" si="124"/>
        <v>447.47099590949</v>
      </c>
      <c r="S214" s="19">
        <f t="shared" si="125"/>
        <v>55</v>
      </c>
      <c r="T214" s="19">
        <f t="shared" si="126"/>
        <v>250</v>
      </c>
      <c r="U214" s="19">
        <f t="shared" si="127"/>
        <v>97.1328019587842</v>
      </c>
      <c r="V214" s="19">
        <f t="shared" si="128"/>
        <v>203.007556093859</v>
      </c>
      <c r="W214" s="19">
        <f t="shared" si="129"/>
        <v>11.0639118071153</v>
      </c>
      <c r="X214" s="19">
        <f t="shared" si="130"/>
        <v>2469.71098005496</v>
      </c>
    </row>
    <row r="215" s="26" customFormat="1" customHeight="1" spans="1:24">
      <c r="A215" s="10">
        <v>211</v>
      </c>
      <c r="B215" s="11" t="s">
        <v>339</v>
      </c>
      <c r="C215" s="11" t="s">
        <v>327</v>
      </c>
      <c r="D215" s="11" t="s">
        <v>340</v>
      </c>
      <c r="E215" s="11" t="s">
        <v>24</v>
      </c>
      <c r="F215" s="11">
        <v>13</v>
      </c>
      <c r="G215" s="13">
        <v>42</v>
      </c>
      <c r="H215" s="14">
        <f>1+(F215-11)/11</f>
        <v>1.18181818181818</v>
      </c>
      <c r="I215" s="17">
        <f>1+(G215-100)/10/10</f>
        <v>0.42</v>
      </c>
      <c r="J215" s="33">
        <v>1</v>
      </c>
      <c r="K215" s="17">
        <f t="shared" si="119"/>
        <v>0.496363636363636</v>
      </c>
      <c r="L215" s="17">
        <v>0</v>
      </c>
      <c r="M215" s="11">
        <v>5.7</v>
      </c>
      <c r="N215" s="18">
        <f t="shared" si="120"/>
        <v>2</v>
      </c>
      <c r="O215" s="19">
        <f t="shared" si="121"/>
        <v>3720.24545454546</v>
      </c>
      <c r="P215" s="19">
        <f t="shared" si="122"/>
        <v>1756</v>
      </c>
      <c r="Q215" s="19">
        <f t="shared" si="123"/>
        <v>230</v>
      </c>
      <c r="R215" s="19">
        <f t="shared" si="124"/>
        <v>0</v>
      </c>
      <c r="S215" s="19">
        <f t="shared" si="125"/>
        <v>273</v>
      </c>
      <c r="T215" s="19">
        <f t="shared" si="126"/>
        <v>250</v>
      </c>
      <c r="U215" s="19">
        <f t="shared" si="127"/>
        <v>280.316045454545</v>
      </c>
      <c r="V215" s="19">
        <f t="shared" si="128"/>
        <v>585.860535</v>
      </c>
      <c r="W215" s="19">
        <f t="shared" si="129"/>
        <v>31.9293991575</v>
      </c>
      <c r="X215" s="19">
        <f t="shared" si="130"/>
        <v>7127.3514341575</v>
      </c>
    </row>
    <row r="216" s="26" customFormat="1" customHeight="1" spans="1:24">
      <c r="A216" s="10">
        <v>212</v>
      </c>
      <c r="B216" s="11" t="s">
        <v>341</v>
      </c>
      <c r="C216" s="11" t="s">
        <v>327</v>
      </c>
      <c r="D216" s="11" t="s">
        <v>342</v>
      </c>
      <c r="E216" s="11" t="s">
        <v>24</v>
      </c>
      <c r="F216" s="11">
        <v>9.3</v>
      </c>
      <c r="G216" s="13">
        <v>41.3</v>
      </c>
      <c r="H216" s="14">
        <f>1+(F216-9)/9</f>
        <v>1.03333333333333</v>
      </c>
      <c r="I216" s="17">
        <f>1+(G216-80)/8/10</f>
        <v>0.51625</v>
      </c>
      <c r="J216" s="33">
        <v>1</v>
      </c>
      <c r="K216" s="17">
        <f t="shared" si="119"/>
        <v>0.533458333333333</v>
      </c>
      <c r="L216" s="17">
        <f>SQRT(9.3*9.3+16.28*16.28)*41.3/2</f>
        <v>387.168721811305</v>
      </c>
      <c r="M216" s="11">
        <v>0.8</v>
      </c>
      <c r="N216" s="18">
        <f t="shared" si="120"/>
        <v>5</v>
      </c>
      <c r="O216" s="19">
        <f t="shared" si="121"/>
        <v>1966.32741666667</v>
      </c>
      <c r="P216" s="19">
        <f t="shared" si="122"/>
        <v>624</v>
      </c>
      <c r="Q216" s="19">
        <f t="shared" si="123"/>
        <v>58</v>
      </c>
      <c r="R216" s="19">
        <f t="shared" si="124"/>
        <v>1320.52410285626</v>
      </c>
      <c r="S216" s="19">
        <f t="shared" si="125"/>
        <v>192.045</v>
      </c>
      <c r="T216" s="19">
        <f t="shared" si="126"/>
        <v>250</v>
      </c>
      <c r="U216" s="19">
        <f t="shared" si="127"/>
        <v>198.490343378532</v>
      </c>
      <c r="V216" s="19">
        <f t="shared" si="128"/>
        <v>414.844817661131</v>
      </c>
      <c r="W216" s="19">
        <f t="shared" si="129"/>
        <v>22.6090425625316</v>
      </c>
      <c r="X216" s="19">
        <f t="shared" si="130"/>
        <v>5046.84072312512</v>
      </c>
    </row>
    <row r="217" s="26" customFormat="1" customHeight="1" spans="1:24">
      <c r="A217" s="10">
        <v>213</v>
      </c>
      <c r="B217" s="11" t="s">
        <v>343</v>
      </c>
      <c r="C217" s="11" t="s">
        <v>327</v>
      </c>
      <c r="D217" s="11" t="s">
        <v>344</v>
      </c>
      <c r="E217" s="11" t="s">
        <v>159</v>
      </c>
      <c r="F217" s="11">
        <v>11.2</v>
      </c>
      <c r="G217" s="13">
        <v>58.6</v>
      </c>
      <c r="H217" s="14">
        <f>1+(F217-9)/9</f>
        <v>1.24444444444444</v>
      </c>
      <c r="I217" s="17">
        <f>1+(G217-80)/8/10</f>
        <v>0.7325</v>
      </c>
      <c r="J217" s="33">
        <v>1</v>
      </c>
      <c r="K217" s="17">
        <f t="shared" si="119"/>
        <v>0.911555555555556</v>
      </c>
      <c r="L217" s="17">
        <v>0</v>
      </c>
      <c r="M217" s="11">
        <v>4.51</v>
      </c>
      <c r="N217" s="18">
        <f t="shared" si="120"/>
        <v>3</v>
      </c>
      <c r="O217" s="19">
        <f t="shared" si="121"/>
        <v>5521.292</v>
      </c>
      <c r="P217" s="19">
        <f t="shared" si="122"/>
        <v>1482</v>
      </c>
      <c r="Q217" s="19">
        <f t="shared" si="123"/>
        <v>173</v>
      </c>
      <c r="R217" s="19">
        <f t="shared" si="124"/>
        <v>0</v>
      </c>
      <c r="S217" s="19">
        <f t="shared" si="125"/>
        <v>328.16</v>
      </c>
      <c r="T217" s="19">
        <f t="shared" si="126"/>
        <v>250</v>
      </c>
      <c r="U217" s="19">
        <f t="shared" si="127"/>
        <v>348.95034</v>
      </c>
      <c r="V217" s="19">
        <f t="shared" si="128"/>
        <v>729.3062106</v>
      </c>
      <c r="W217" s="19">
        <f t="shared" si="129"/>
        <v>39.7471884777</v>
      </c>
      <c r="X217" s="19">
        <f t="shared" si="130"/>
        <v>8872.4557390777</v>
      </c>
    </row>
    <row r="218" s="26" customFormat="1" customHeight="1" spans="1:24">
      <c r="A218" s="10">
        <v>214</v>
      </c>
      <c r="B218" s="11" t="s">
        <v>345</v>
      </c>
      <c r="C218" s="11" t="s">
        <v>346</v>
      </c>
      <c r="D218" s="11" t="s">
        <v>347</v>
      </c>
      <c r="E218" s="11" t="s">
        <v>24</v>
      </c>
      <c r="F218" s="11">
        <v>9</v>
      </c>
      <c r="G218" s="13">
        <v>47</v>
      </c>
      <c r="H218" s="14">
        <f>1+(F218-8)/8</f>
        <v>1.125</v>
      </c>
      <c r="I218" s="17">
        <f>1+(G218-70)/7/10</f>
        <v>0.671428571428571</v>
      </c>
      <c r="J218" s="33">
        <v>1</v>
      </c>
      <c r="K218" s="17">
        <f t="shared" si="119"/>
        <v>0.755357142857143</v>
      </c>
      <c r="L218" s="17">
        <v>0</v>
      </c>
      <c r="M218" s="11">
        <v>0.5</v>
      </c>
      <c r="N218" s="18">
        <f t="shared" si="120"/>
        <v>5</v>
      </c>
      <c r="O218" s="19">
        <f t="shared" si="121"/>
        <v>2784.24642857143</v>
      </c>
      <c r="P218" s="19">
        <f t="shared" si="122"/>
        <v>624</v>
      </c>
      <c r="Q218" s="19">
        <f t="shared" si="123"/>
        <v>58</v>
      </c>
      <c r="R218" s="19">
        <f t="shared" si="124"/>
        <v>0</v>
      </c>
      <c r="S218" s="19">
        <f t="shared" si="125"/>
        <v>211.5</v>
      </c>
      <c r="T218" s="19">
        <f t="shared" si="126"/>
        <v>250</v>
      </c>
      <c r="U218" s="19">
        <f t="shared" si="127"/>
        <v>176.748589285714</v>
      </c>
      <c r="V218" s="19">
        <f t="shared" si="128"/>
        <v>369.404551607143</v>
      </c>
      <c r="W218" s="19">
        <f t="shared" si="129"/>
        <v>20.1325480625893</v>
      </c>
      <c r="X218" s="19">
        <f t="shared" si="130"/>
        <v>4494.03211752688</v>
      </c>
    </row>
    <row r="219" s="26" customFormat="1" customHeight="1" spans="1:24">
      <c r="A219" s="10">
        <v>215</v>
      </c>
      <c r="B219" s="11" t="s">
        <v>348</v>
      </c>
      <c r="C219" s="11" t="s">
        <v>346</v>
      </c>
      <c r="D219" s="11" t="s">
        <v>349</v>
      </c>
      <c r="E219" s="11" t="s">
        <v>24</v>
      </c>
      <c r="F219" s="11">
        <v>8.8</v>
      </c>
      <c r="G219" s="13">
        <v>55</v>
      </c>
      <c r="H219" s="14">
        <f>1+(F219-10)/10</f>
        <v>0.88</v>
      </c>
      <c r="I219" s="17">
        <f>1+(G219-90)/9/10</f>
        <v>0.611111111111111</v>
      </c>
      <c r="J219" s="33">
        <v>1</v>
      </c>
      <c r="K219" s="17">
        <f t="shared" si="119"/>
        <v>0.537777777777778</v>
      </c>
      <c r="L219" s="17">
        <f>SQRT(8.8*8.8+15.4*15.4)*55</f>
        <v>975.533187544125</v>
      </c>
      <c r="M219" s="11">
        <v>4</v>
      </c>
      <c r="N219" s="18">
        <f t="shared" si="120"/>
        <v>3</v>
      </c>
      <c r="O219" s="19">
        <f t="shared" si="121"/>
        <v>3257.32</v>
      </c>
      <c r="P219" s="19">
        <f t="shared" si="122"/>
        <v>1482</v>
      </c>
      <c r="Q219" s="19">
        <f t="shared" si="123"/>
        <v>173</v>
      </c>
      <c r="R219" s="19">
        <f>L219*3.410721</f>
        <v>3327.27152895368</v>
      </c>
      <c r="S219" s="19">
        <f t="shared" si="125"/>
        <v>242</v>
      </c>
      <c r="T219" s="19">
        <f t="shared" si="126"/>
        <v>250</v>
      </c>
      <c r="U219" s="19">
        <f t="shared" si="127"/>
        <v>392.921618802916</v>
      </c>
      <c r="V219" s="19">
        <f t="shared" si="128"/>
        <v>821.206183298094</v>
      </c>
      <c r="W219" s="19">
        <f t="shared" si="129"/>
        <v>44.7557369897461</v>
      </c>
      <c r="X219" s="19">
        <f t="shared" si="130"/>
        <v>9990.47506804444</v>
      </c>
    </row>
    <row r="220" s="26" customFormat="1" customHeight="1" spans="1:24">
      <c r="A220" s="35" t="s">
        <v>14</v>
      </c>
      <c r="B220" s="36"/>
      <c r="C220" s="9"/>
      <c r="D220" s="9"/>
      <c r="E220" s="15"/>
      <c r="F220" s="15"/>
      <c r="G220" s="9"/>
      <c r="H220" s="9"/>
      <c r="I220" s="9"/>
      <c r="J220" s="9"/>
      <c r="K220" s="9"/>
      <c r="L220" s="9"/>
      <c r="M220" s="9"/>
      <c r="N220" s="9"/>
      <c r="O220" s="15"/>
      <c r="P220" s="15"/>
      <c r="Q220" s="15"/>
      <c r="R220" s="15"/>
      <c r="S220" s="15"/>
      <c r="T220" s="15"/>
      <c r="U220" s="15"/>
      <c r="V220" s="15"/>
      <c r="W220" s="15"/>
      <c r="X220" s="21">
        <f>SUM(X5:X219)</f>
        <v>1330572.38923765</v>
      </c>
    </row>
    <row r="221" s="25" customFormat="1" customHeight="1" spans="5:6">
      <c r="E221" s="27"/>
      <c r="F221" s="27"/>
    </row>
    <row r="222" s="25" customFormat="1" customHeight="1" spans="5:6">
      <c r="E222" s="27"/>
      <c r="F222" s="27"/>
    </row>
    <row r="223" s="25" customFormat="1" customHeight="1" spans="5:6">
      <c r="E223" s="27"/>
      <c r="F223" s="27"/>
    </row>
  </sheetData>
  <mergeCells count="25">
    <mergeCell ref="A1:X1"/>
    <mergeCell ref="O2:W2"/>
    <mergeCell ref="A220:B220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R3:R4"/>
    <mergeCell ref="S3:S4"/>
    <mergeCell ref="T3:T4"/>
    <mergeCell ref="U3:U4"/>
    <mergeCell ref="V3:V4"/>
    <mergeCell ref="W3:W4"/>
    <mergeCell ref="X3:X4"/>
    <mergeCell ref="Y3:Y4"/>
  </mergeCells>
  <conditionalFormatting sqref="B5">
    <cfRule type="cellIs" dxfId="0" priority="8" stopIfTrue="1" operator="equal">
      <formula>""</formula>
    </cfRule>
  </conditionalFormatting>
  <conditionalFormatting sqref="B6">
    <cfRule type="cellIs" dxfId="0" priority="11" stopIfTrue="1" operator="equal">
      <formula>""</formula>
    </cfRule>
  </conditionalFormatting>
  <conditionalFormatting sqref="B7">
    <cfRule type="cellIs" dxfId="0" priority="14" stopIfTrue="1" operator="equal">
      <formula>""</formula>
    </cfRule>
  </conditionalFormatting>
  <conditionalFormatting sqref="B8">
    <cfRule type="cellIs" dxfId="0" priority="17" stopIfTrue="1" operator="equal">
      <formula>""</formula>
    </cfRule>
  </conditionalFormatting>
  <conditionalFormatting sqref="B9">
    <cfRule type="cellIs" dxfId="0" priority="18" stopIfTrue="1" operator="equal">
      <formula>""</formula>
    </cfRule>
  </conditionalFormatting>
  <conditionalFormatting sqref="B10">
    <cfRule type="cellIs" dxfId="0" priority="19" stopIfTrue="1" operator="equal">
      <formula>""</formula>
    </cfRule>
  </conditionalFormatting>
  <conditionalFormatting sqref="B11">
    <cfRule type="cellIs" dxfId="0" priority="20" stopIfTrue="1" operator="equal">
      <formula>""</formula>
    </cfRule>
  </conditionalFormatting>
  <conditionalFormatting sqref="B12">
    <cfRule type="cellIs" dxfId="0" priority="21" stopIfTrue="1" operator="equal">
      <formula>""</formula>
    </cfRule>
  </conditionalFormatting>
  <conditionalFormatting sqref="B16">
    <cfRule type="cellIs" dxfId="0" priority="23" stopIfTrue="1" operator="equal">
      <formula>""</formula>
    </cfRule>
  </conditionalFormatting>
  <conditionalFormatting sqref="B17">
    <cfRule type="cellIs" dxfId="0" priority="24" stopIfTrue="1" operator="equal">
      <formula>""</formula>
    </cfRule>
  </conditionalFormatting>
  <conditionalFormatting sqref="B18">
    <cfRule type="cellIs" dxfId="0" priority="25" stopIfTrue="1" operator="equal">
      <formula>""</formula>
    </cfRule>
  </conditionalFormatting>
  <conditionalFormatting sqref="B19">
    <cfRule type="cellIs" dxfId="0" priority="26" stopIfTrue="1" operator="equal">
      <formula>""</formula>
    </cfRule>
  </conditionalFormatting>
  <conditionalFormatting sqref="B20">
    <cfRule type="cellIs" dxfId="0" priority="27" stopIfTrue="1" operator="equal">
      <formula>""</formula>
    </cfRule>
  </conditionalFormatting>
  <conditionalFormatting sqref="B21">
    <cfRule type="cellIs" dxfId="0" priority="28" stopIfTrue="1" operator="equal">
      <formula>""</formula>
    </cfRule>
  </conditionalFormatting>
  <conditionalFormatting sqref="B22">
    <cfRule type="cellIs" dxfId="0" priority="29" stopIfTrue="1" operator="equal">
      <formula>""</formula>
    </cfRule>
  </conditionalFormatting>
  <conditionalFormatting sqref="B23">
    <cfRule type="cellIs" dxfId="0" priority="30" stopIfTrue="1" operator="equal">
      <formula>""</formula>
    </cfRule>
  </conditionalFormatting>
  <conditionalFormatting sqref="B24">
    <cfRule type="cellIs" dxfId="0" priority="31" stopIfTrue="1" operator="equal">
      <formula>""</formula>
    </cfRule>
  </conditionalFormatting>
  <conditionalFormatting sqref="B25">
    <cfRule type="cellIs" dxfId="0" priority="32" stopIfTrue="1" operator="equal">
      <formula>""</formula>
    </cfRule>
  </conditionalFormatting>
  <conditionalFormatting sqref="B26">
    <cfRule type="cellIs" dxfId="0" priority="33" stopIfTrue="1" operator="equal">
      <formula>""</formula>
    </cfRule>
  </conditionalFormatting>
  <conditionalFormatting sqref="B27">
    <cfRule type="cellIs" dxfId="0" priority="34" stopIfTrue="1" operator="equal">
      <formula>""</formula>
    </cfRule>
  </conditionalFormatting>
  <conditionalFormatting sqref="B28">
    <cfRule type="cellIs" dxfId="0" priority="35" stopIfTrue="1" operator="equal">
      <formula>""</formula>
    </cfRule>
  </conditionalFormatting>
  <conditionalFormatting sqref="B29">
    <cfRule type="cellIs" dxfId="0" priority="36" stopIfTrue="1" operator="equal">
      <formula>""</formula>
    </cfRule>
  </conditionalFormatting>
  <conditionalFormatting sqref="B30">
    <cfRule type="cellIs" dxfId="0" priority="37" stopIfTrue="1" operator="equal">
      <formula>""</formula>
    </cfRule>
  </conditionalFormatting>
  <conditionalFormatting sqref="B31">
    <cfRule type="cellIs" dxfId="0" priority="38" stopIfTrue="1" operator="equal">
      <formula>""</formula>
    </cfRule>
  </conditionalFormatting>
  <conditionalFormatting sqref="B32">
    <cfRule type="cellIs" dxfId="0" priority="39" stopIfTrue="1" operator="equal">
      <formula>""</formula>
    </cfRule>
  </conditionalFormatting>
  <conditionalFormatting sqref="B33">
    <cfRule type="cellIs" dxfId="0" priority="40" stopIfTrue="1" operator="equal">
      <formula>""</formula>
    </cfRule>
  </conditionalFormatting>
  <conditionalFormatting sqref="B34">
    <cfRule type="cellIs" dxfId="0" priority="41" stopIfTrue="1" operator="equal">
      <formula>""</formula>
    </cfRule>
  </conditionalFormatting>
  <conditionalFormatting sqref="B35">
    <cfRule type="cellIs" dxfId="0" priority="42" stopIfTrue="1" operator="equal">
      <formula>""</formula>
    </cfRule>
  </conditionalFormatting>
  <conditionalFormatting sqref="B36">
    <cfRule type="cellIs" dxfId="0" priority="43" stopIfTrue="1" operator="equal">
      <formula>""</formula>
    </cfRule>
  </conditionalFormatting>
  <conditionalFormatting sqref="B37">
    <cfRule type="cellIs" dxfId="0" priority="44" stopIfTrue="1" operator="equal">
      <formula>""</formula>
    </cfRule>
  </conditionalFormatting>
  <conditionalFormatting sqref="B38">
    <cfRule type="cellIs" dxfId="0" priority="45" stopIfTrue="1" operator="equal">
      <formula>""</formula>
    </cfRule>
  </conditionalFormatting>
  <conditionalFormatting sqref="B39">
    <cfRule type="cellIs" dxfId="0" priority="46" stopIfTrue="1" operator="equal">
      <formula>""</formula>
    </cfRule>
  </conditionalFormatting>
  <conditionalFormatting sqref="B40">
    <cfRule type="cellIs" dxfId="0" priority="47" stopIfTrue="1" operator="equal">
      <formula>""</formula>
    </cfRule>
  </conditionalFormatting>
  <conditionalFormatting sqref="B41">
    <cfRule type="cellIs" dxfId="0" priority="48" stopIfTrue="1" operator="equal">
      <formula>""</formula>
    </cfRule>
  </conditionalFormatting>
  <conditionalFormatting sqref="B42">
    <cfRule type="cellIs" dxfId="0" priority="49" stopIfTrue="1" operator="equal">
      <formula>""</formula>
    </cfRule>
  </conditionalFormatting>
  <conditionalFormatting sqref="B43">
    <cfRule type="cellIs" dxfId="0" priority="50" stopIfTrue="1" operator="equal">
      <formula>""</formula>
    </cfRule>
  </conditionalFormatting>
  <conditionalFormatting sqref="B44">
    <cfRule type="cellIs" dxfId="0" priority="51" stopIfTrue="1" operator="equal">
      <formula>""</formula>
    </cfRule>
  </conditionalFormatting>
  <conditionalFormatting sqref="B45">
    <cfRule type="cellIs" dxfId="0" priority="52" stopIfTrue="1" operator="equal">
      <formula>""</formula>
    </cfRule>
  </conditionalFormatting>
  <conditionalFormatting sqref="B46">
    <cfRule type="cellIs" dxfId="0" priority="53" stopIfTrue="1" operator="equal">
      <formula>""</formula>
    </cfRule>
  </conditionalFormatting>
  <conditionalFormatting sqref="B47">
    <cfRule type="cellIs" dxfId="0" priority="54" stopIfTrue="1" operator="equal">
      <formula>""</formula>
    </cfRule>
  </conditionalFormatting>
  <conditionalFormatting sqref="B48">
    <cfRule type="cellIs" dxfId="0" priority="55" stopIfTrue="1" operator="equal">
      <formula>""</formula>
    </cfRule>
  </conditionalFormatting>
  <conditionalFormatting sqref="B49">
    <cfRule type="cellIs" dxfId="0" priority="56" stopIfTrue="1" operator="equal">
      <formula>""</formula>
    </cfRule>
  </conditionalFormatting>
  <conditionalFormatting sqref="B50">
    <cfRule type="cellIs" dxfId="0" priority="57" stopIfTrue="1" operator="equal">
      <formula>""</formula>
    </cfRule>
  </conditionalFormatting>
  <conditionalFormatting sqref="B51">
    <cfRule type="cellIs" dxfId="0" priority="58" stopIfTrue="1" operator="equal">
      <formula>""</formula>
    </cfRule>
  </conditionalFormatting>
  <conditionalFormatting sqref="B52">
    <cfRule type="cellIs" dxfId="0" priority="59" stopIfTrue="1" operator="equal">
      <formula>""</formula>
    </cfRule>
  </conditionalFormatting>
  <conditionalFormatting sqref="B53">
    <cfRule type="cellIs" dxfId="0" priority="60" stopIfTrue="1" operator="equal">
      <formula>""</formula>
    </cfRule>
  </conditionalFormatting>
  <conditionalFormatting sqref="B54">
    <cfRule type="cellIs" dxfId="0" priority="61" stopIfTrue="1" operator="equal">
      <formula>""</formula>
    </cfRule>
  </conditionalFormatting>
  <conditionalFormatting sqref="B55">
    <cfRule type="cellIs" dxfId="0" priority="62" stopIfTrue="1" operator="equal">
      <formula>""</formula>
    </cfRule>
  </conditionalFormatting>
  <conditionalFormatting sqref="B56">
    <cfRule type="cellIs" dxfId="0" priority="63" stopIfTrue="1" operator="equal">
      <formula>""</formula>
    </cfRule>
  </conditionalFormatting>
  <conditionalFormatting sqref="B57">
    <cfRule type="cellIs" dxfId="0" priority="64" stopIfTrue="1" operator="equal">
      <formula>""</formula>
    </cfRule>
  </conditionalFormatting>
  <conditionalFormatting sqref="B58">
    <cfRule type="cellIs" dxfId="0" priority="65" stopIfTrue="1" operator="equal">
      <formula>""</formula>
    </cfRule>
  </conditionalFormatting>
  <conditionalFormatting sqref="B59">
    <cfRule type="cellIs" dxfId="0" priority="66" stopIfTrue="1" operator="equal">
      <formula>""</formula>
    </cfRule>
  </conditionalFormatting>
  <conditionalFormatting sqref="B60">
    <cfRule type="cellIs" dxfId="0" priority="67" stopIfTrue="1" operator="equal">
      <formula>""</formula>
    </cfRule>
  </conditionalFormatting>
  <conditionalFormatting sqref="B61">
    <cfRule type="cellIs" dxfId="0" priority="68" stopIfTrue="1" operator="equal">
      <formula>""</formula>
    </cfRule>
  </conditionalFormatting>
  <conditionalFormatting sqref="B62">
    <cfRule type="cellIs" dxfId="0" priority="69" stopIfTrue="1" operator="equal">
      <formula>""</formula>
    </cfRule>
  </conditionalFormatting>
  <conditionalFormatting sqref="B63">
    <cfRule type="cellIs" dxfId="0" priority="70" stopIfTrue="1" operator="equal">
      <formula>""</formula>
    </cfRule>
  </conditionalFormatting>
  <conditionalFormatting sqref="B64">
    <cfRule type="cellIs" dxfId="0" priority="71" stopIfTrue="1" operator="equal">
      <formula>""</formula>
    </cfRule>
  </conditionalFormatting>
  <conditionalFormatting sqref="B65">
    <cfRule type="cellIs" dxfId="0" priority="72" stopIfTrue="1" operator="equal">
      <formula>""</formula>
    </cfRule>
  </conditionalFormatting>
  <conditionalFormatting sqref="B66">
    <cfRule type="cellIs" dxfId="0" priority="73" stopIfTrue="1" operator="equal">
      <formula>""</formula>
    </cfRule>
  </conditionalFormatting>
  <conditionalFormatting sqref="B67">
    <cfRule type="cellIs" dxfId="0" priority="74" stopIfTrue="1" operator="equal">
      <formula>""</formula>
    </cfRule>
  </conditionalFormatting>
  <conditionalFormatting sqref="B68">
    <cfRule type="cellIs" dxfId="0" priority="75" stopIfTrue="1" operator="equal">
      <formula>""</formula>
    </cfRule>
  </conditionalFormatting>
  <conditionalFormatting sqref="B69">
    <cfRule type="cellIs" dxfId="0" priority="76" stopIfTrue="1" operator="equal">
      <formula>""</formula>
    </cfRule>
  </conditionalFormatting>
  <conditionalFormatting sqref="B75">
    <cfRule type="cellIs" dxfId="0" priority="79" stopIfTrue="1" operator="equal">
      <formula>""</formula>
    </cfRule>
  </conditionalFormatting>
  <conditionalFormatting sqref="B76">
    <cfRule type="cellIs" dxfId="0" priority="80" stopIfTrue="1" operator="equal">
      <formula>""</formula>
    </cfRule>
  </conditionalFormatting>
  <conditionalFormatting sqref="B77">
    <cfRule type="cellIs" dxfId="0" priority="81" stopIfTrue="1" operator="equal">
      <formula>""</formula>
    </cfRule>
  </conditionalFormatting>
  <conditionalFormatting sqref="B78">
    <cfRule type="cellIs" dxfId="0" priority="82" stopIfTrue="1" operator="equal">
      <formula>""</formula>
    </cfRule>
  </conditionalFormatting>
  <conditionalFormatting sqref="B79">
    <cfRule type="cellIs" dxfId="0" priority="83" stopIfTrue="1" operator="equal">
      <formula>""</formula>
    </cfRule>
  </conditionalFormatting>
  <conditionalFormatting sqref="B80">
    <cfRule type="cellIs" dxfId="0" priority="84" stopIfTrue="1" operator="equal">
      <formula>""</formula>
    </cfRule>
  </conditionalFormatting>
  <conditionalFormatting sqref="B81">
    <cfRule type="cellIs" dxfId="0" priority="85" stopIfTrue="1" operator="equal">
      <formula>""</formula>
    </cfRule>
  </conditionalFormatting>
  <conditionalFormatting sqref="B82">
    <cfRule type="cellIs" dxfId="0" priority="86" stopIfTrue="1" operator="equal">
      <formula>""</formula>
    </cfRule>
  </conditionalFormatting>
  <conditionalFormatting sqref="B83">
    <cfRule type="cellIs" dxfId="0" priority="87" stopIfTrue="1" operator="equal">
      <formula>""</formula>
    </cfRule>
  </conditionalFormatting>
  <conditionalFormatting sqref="B84">
    <cfRule type="cellIs" dxfId="0" priority="88" stopIfTrue="1" operator="equal">
      <formula>""</formula>
    </cfRule>
  </conditionalFormatting>
  <conditionalFormatting sqref="B85">
    <cfRule type="cellIs" dxfId="0" priority="89" stopIfTrue="1" operator="equal">
      <formula>""</formula>
    </cfRule>
  </conditionalFormatting>
  <conditionalFormatting sqref="B86">
    <cfRule type="cellIs" dxfId="0" priority="90" stopIfTrue="1" operator="equal">
      <formula>""</formula>
    </cfRule>
  </conditionalFormatting>
  <conditionalFormatting sqref="B87">
    <cfRule type="cellIs" dxfId="0" priority="91" stopIfTrue="1" operator="equal">
      <formula>""</formula>
    </cfRule>
  </conditionalFormatting>
  <conditionalFormatting sqref="B88">
    <cfRule type="cellIs" dxfId="0" priority="92" stopIfTrue="1" operator="equal">
      <formula>""</formula>
    </cfRule>
  </conditionalFormatting>
  <conditionalFormatting sqref="B89">
    <cfRule type="cellIs" dxfId="0" priority="93" stopIfTrue="1" operator="equal">
      <formula>""</formula>
    </cfRule>
  </conditionalFormatting>
  <conditionalFormatting sqref="B90">
    <cfRule type="cellIs" dxfId="0" priority="5" stopIfTrue="1" operator="equal">
      <formula>""</formula>
    </cfRule>
  </conditionalFormatting>
  <conditionalFormatting sqref="B91">
    <cfRule type="cellIs" dxfId="0" priority="94" stopIfTrue="1" operator="equal">
      <formula>""</formula>
    </cfRule>
  </conditionalFormatting>
  <conditionalFormatting sqref="B92">
    <cfRule type="cellIs" dxfId="0" priority="95" stopIfTrue="1" operator="equal">
      <formula>""</formula>
    </cfRule>
  </conditionalFormatting>
  <conditionalFormatting sqref="B93">
    <cfRule type="cellIs" dxfId="0" priority="96" stopIfTrue="1" operator="equal">
      <formula>""</formula>
    </cfRule>
  </conditionalFormatting>
  <conditionalFormatting sqref="B94">
    <cfRule type="cellIs" dxfId="0" priority="97" stopIfTrue="1" operator="equal">
      <formula>""</formula>
    </cfRule>
  </conditionalFormatting>
  <conditionalFormatting sqref="B95">
    <cfRule type="cellIs" dxfId="0" priority="98" stopIfTrue="1" operator="equal">
      <formula>""</formula>
    </cfRule>
  </conditionalFormatting>
  <conditionalFormatting sqref="B96">
    <cfRule type="cellIs" dxfId="0" priority="99" stopIfTrue="1" operator="equal">
      <formula>""</formula>
    </cfRule>
  </conditionalFormatting>
  <conditionalFormatting sqref="B97">
    <cfRule type="cellIs" dxfId="0" priority="100" stopIfTrue="1" operator="equal">
      <formula>""</formula>
    </cfRule>
  </conditionalFormatting>
  <conditionalFormatting sqref="B98">
    <cfRule type="cellIs" dxfId="0" priority="101" stopIfTrue="1" operator="equal">
      <formula>""</formula>
    </cfRule>
  </conditionalFormatting>
  <conditionalFormatting sqref="B99">
    <cfRule type="cellIs" dxfId="0" priority="102" stopIfTrue="1" operator="equal">
      <formula>""</formula>
    </cfRule>
  </conditionalFormatting>
  <conditionalFormatting sqref="B100">
    <cfRule type="cellIs" dxfId="0" priority="103" stopIfTrue="1" operator="equal">
      <formula>""</formula>
    </cfRule>
  </conditionalFormatting>
  <conditionalFormatting sqref="B101">
    <cfRule type="cellIs" dxfId="0" priority="104" stopIfTrue="1" operator="equal">
      <formula>""</formula>
    </cfRule>
  </conditionalFormatting>
  <conditionalFormatting sqref="B102">
    <cfRule type="cellIs" dxfId="0" priority="105" stopIfTrue="1" operator="equal">
      <formula>""</formula>
    </cfRule>
  </conditionalFormatting>
  <conditionalFormatting sqref="B103">
    <cfRule type="cellIs" dxfId="0" priority="106" stopIfTrue="1" operator="equal">
      <formula>""</formula>
    </cfRule>
  </conditionalFormatting>
  <conditionalFormatting sqref="B104">
    <cfRule type="cellIs" dxfId="0" priority="107" stopIfTrue="1" operator="equal">
      <formula>""</formula>
    </cfRule>
  </conditionalFormatting>
  <conditionalFormatting sqref="B105">
    <cfRule type="cellIs" dxfId="0" priority="108" stopIfTrue="1" operator="equal">
      <formula>""</formula>
    </cfRule>
  </conditionalFormatting>
  <conditionalFormatting sqref="B106">
    <cfRule type="cellIs" dxfId="0" priority="109" stopIfTrue="1" operator="equal">
      <formula>""</formula>
    </cfRule>
  </conditionalFormatting>
  <conditionalFormatting sqref="B107">
    <cfRule type="cellIs" dxfId="0" priority="110" stopIfTrue="1" operator="equal">
      <formula>""</formula>
    </cfRule>
  </conditionalFormatting>
  <conditionalFormatting sqref="B108">
    <cfRule type="cellIs" dxfId="0" priority="111" stopIfTrue="1" operator="equal">
      <formula>""</formula>
    </cfRule>
  </conditionalFormatting>
  <conditionalFormatting sqref="B111">
    <cfRule type="cellIs" dxfId="0" priority="112" stopIfTrue="1" operator="equal">
      <formula>""</formula>
    </cfRule>
  </conditionalFormatting>
  <conditionalFormatting sqref="C111">
    <cfRule type="cellIs" dxfId="0" priority="113" stopIfTrue="1" operator="equal">
      <formula>""</formula>
    </cfRule>
  </conditionalFormatting>
  <conditionalFormatting sqref="B112">
    <cfRule type="cellIs" dxfId="0" priority="114" stopIfTrue="1" operator="equal">
      <formula>""</formula>
    </cfRule>
  </conditionalFormatting>
  <conditionalFormatting sqref="C112">
    <cfRule type="cellIs" dxfId="0" priority="115" stopIfTrue="1" operator="equal">
      <formula>""</formula>
    </cfRule>
  </conditionalFormatting>
  <conditionalFormatting sqref="B113">
    <cfRule type="cellIs" dxfId="0" priority="116" stopIfTrue="1" operator="equal">
      <formula>""</formula>
    </cfRule>
  </conditionalFormatting>
  <conditionalFormatting sqref="C113">
    <cfRule type="cellIs" dxfId="0" priority="117" stopIfTrue="1" operator="equal">
      <formula>""</formula>
    </cfRule>
  </conditionalFormatting>
  <conditionalFormatting sqref="B114">
    <cfRule type="cellIs" dxfId="0" priority="118" stopIfTrue="1" operator="equal">
      <formula>""</formula>
    </cfRule>
  </conditionalFormatting>
  <conditionalFormatting sqref="C114">
    <cfRule type="cellIs" dxfId="0" priority="119" stopIfTrue="1" operator="equal">
      <formula>""</formula>
    </cfRule>
  </conditionalFormatting>
  <conditionalFormatting sqref="B115">
    <cfRule type="cellIs" dxfId="0" priority="120" stopIfTrue="1" operator="equal">
      <formula>""</formula>
    </cfRule>
  </conditionalFormatting>
  <conditionalFormatting sqref="C115">
    <cfRule type="cellIs" dxfId="0" priority="121" stopIfTrue="1" operator="equal">
      <formula>""</formula>
    </cfRule>
  </conditionalFormatting>
  <conditionalFormatting sqref="B116">
    <cfRule type="cellIs" dxfId="0" priority="122" stopIfTrue="1" operator="equal">
      <formula>""</formula>
    </cfRule>
  </conditionalFormatting>
  <conditionalFormatting sqref="C116">
    <cfRule type="cellIs" dxfId="0" priority="123" stopIfTrue="1" operator="equal">
      <formula>""</formula>
    </cfRule>
  </conditionalFormatting>
  <conditionalFormatting sqref="B117">
    <cfRule type="cellIs" dxfId="0" priority="124" stopIfTrue="1" operator="equal">
      <formula>""</formula>
    </cfRule>
  </conditionalFormatting>
  <conditionalFormatting sqref="C117">
    <cfRule type="cellIs" dxfId="0" priority="125" stopIfTrue="1" operator="equal">
      <formula>""</formula>
    </cfRule>
  </conditionalFormatting>
  <conditionalFormatting sqref="B118">
    <cfRule type="cellIs" dxfId="0" priority="126" stopIfTrue="1" operator="equal">
      <formula>""</formula>
    </cfRule>
  </conditionalFormatting>
  <conditionalFormatting sqref="C118">
    <cfRule type="cellIs" dxfId="0" priority="127" stopIfTrue="1" operator="equal">
      <formula>""</formula>
    </cfRule>
  </conditionalFormatting>
  <conditionalFormatting sqref="B119">
    <cfRule type="cellIs" dxfId="0" priority="128" stopIfTrue="1" operator="equal">
      <formula>""</formula>
    </cfRule>
  </conditionalFormatting>
  <conditionalFormatting sqref="C119">
    <cfRule type="cellIs" dxfId="0" priority="129" stopIfTrue="1" operator="equal">
      <formula>""</formula>
    </cfRule>
  </conditionalFormatting>
  <conditionalFormatting sqref="B120">
    <cfRule type="cellIs" dxfId="0" priority="130" stopIfTrue="1" operator="equal">
      <formula>""</formula>
    </cfRule>
  </conditionalFormatting>
  <conditionalFormatting sqref="C120">
    <cfRule type="cellIs" dxfId="0" priority="131" stopIfTrue="1" operator="equal">
      <formula>""</formula>
    </cfRule>
  </conditionalFormatting>
  <conditionalFormatting sqref="B121">
    <cfRule type="cellIs" dxfId="0" priority="132" stopIfTrue="1" operator="equal">
      <formula>""</formula>
    </cfRule>
  </conditionalFormatting>
  <conditionalFormatting sqref="C121">
    <cfRule type="cellIs" dxfId="0" priority="133" stopIfTrue="1" operator="equal">
      <formula>""</formula>
    </cfRule>
  </conditionalFormatting>
  <conditionalFormatting sqref="B122">
    <cfRule type="cellIs" dxfId="0" priority="134" stopIfTrue="1" operator="equal">
      <formula>""</formula>
    </cfRule>
  </conditionalFormatting>
  <conditionalFormatting sqref="C122">
    <cfRule type="cellIs" dxfId="0" priority="135" stopIfTrue="1" operator="equal">
      <formula>""</formula>
    </cfRule>
  </conditionalFormatting>
  <conditionalFormatting sqref="B123">
    <cfRule type="cellIs" dxfId="0" priority="136" stopIfTrue="1" operator="equal">
      <formula>""</formula>
    </cfRule>
  </conditionalFormatting>
  <conditionalFormatting sqref="C123">
    <cfRule type="cellIs" dxfId="0" priority="137" stopIfTrue="1" operator="equal">
      <formula>""</formula>
    </cfRule>
  </conditionalFormatting>
  <conditionalFormatting sqref="B124">
    <cfRule type="cellIs" dxfId="0" priority="138" stopIfTrue="1" operator="equal">
      <formula>""</formula>
    </cfRule>
  </conditionalFormatting>
  <conditionalFormatting sqref="C124">
    <cfRule type="cellIs" dxfId="0" priority="139" stopIfTrue="1" operator="equal">
      <formula>""</formula>
    </cfRule>
  </conditionalFormatting>
  <conditionalFormatting sqref="B125">
    <cfRule type="cellIs" dxfId="0" priority="140" stopIfTrue="1" operator="equal">
      <formula>""</formula>
    </cfRule>
  </conditionalFormatting>
  <conditionalFormatting sqref="C125">
    <cfRule type="cellIs" dxfId="0" priority="141" stopIfTrue="1" operator="equal">
      <formula>""</formula>
    </cfRule>
  </conditionalFormatting>
  <conditionalFormatting sqref="B126">
    <cfRule type="cellIs" dxfId="0" priority="142" stopIfTrue="1" operator="equal">
      <formula>""</formula>
    </cfRule>
  </conditionalFormatting>
  <conditionalFormatting sqref="C126">
    <cfRule type="cellIs" dxfId="0" priority="143" stopIfTrue="1" operator="equal">
      <formula>""</formula>
    </cfRule>
  </conditionalFormatting>
  <conditionalFormatting sqref="B127">
    <cfRule type="cellIs" dxfId="0" priority="144" stopIfTrue="1" operator="equal">
      <formula>""</formula>
    </cfRule>
  </conditionalFormatting>
  <conditionalFormatting sqref="C127">
    <cfRule type="cellIs" dxfId="0" priority="145" stopIfTrue="1" operator="equal">
      <formula>""</formula>
    </cfRule>
  </conditionalFormatting>
  <conditionalFormatting sqref="B128">
    <cfRule type="cellIs" dxfId="0" priority="146" stopIfTrue="1" operator="equal">
      <formula>""</formula>
    </cfRule>
  </conditionalFormatting>
  <conditionalFormatting sqref="C128">
    <cfRule type="cellIs" dxfId="0" priority="147" stopIfTrue="1" operator="equal">
      <formula>""</formula>
    </cfRule>
  </conditionalFormatting>
  <conditionalFormatting sqref="B129">
    <cfRule type="cellIs" dxfId="0" priority="148" stopIfTrue="1" operator="equal">
      <formula>""</formula>
    </cfRule>
  </conditionalFormatting>
  <conditionalFormatting sqref="C129">
    <cfRule type="cellIs" dxfId="0" priority="149" stopIfTrue="1" operator="equal">
      <formula>""</formula>
    </cfRule>
  </conditionalFormatting>
  <conditionalFormatting sqref="B130">
    <cfRule type="cellIs" dxfId="0" priority="150" stopIfTrue="1" operator="equal">
      <formula>""</formula>
    </cfRule>
  </conditionalFormatting>
  <conditionalFormatting sqref="C130">
    <cfRule type="cellIs" dxfId="0" priority="151" stopIfTrue="1" operator="equal">
      <formula>""</formula>
    </cfRule>
  </conditionalFormatting>
  <conditionalFormatting sqref="B131">
    <cfRule type="cellIs" dxfId="0" priority="152" stopIfTrue="1" operator="equal">
      <formula>""</formula>
    </cfRule>
  </conditionalFormatting>
  <conditionalFormatting sqref="C131">
    <cfRule type="cellIs" dxfId="0" priority="153" stopIfTrue="1" operator="equal">
      <formula>""</formula>
    </cfRule>
  </conditionalFormatting>
  <conditionalFormatting sqref="B132">
    <cfRule type="cellIs" dxfId="0" priority="1" stopIfTrue="1" operator="equal">
      <formula>""</formula>
    </cfRule>
  </conditionalFormatting>
  <conditionalFormatting sqref="C132">
    <cfRule type="cellIs" dxfId="0" priority="2" stopIfTrue="1" operator="equal">
      <formula>""</formula>
    </cfRule>
  </conditionalFormatting>
  <conditionalFormatting sqref="B135">
    <cfRule type="cellIs" dxfId="0" priority="156" stopIfTrue="1" operator="equal">
      <formula>""</formula>
    </cfRule>
  </conditionalFormatting>
  <conditionalFormatting sqref="C135">
    <cfRule type="cellIs" dxfId="0" priority="157" stopIfTrue="1" operator="equal">
      <formula>""</formula>
    </cfRule>
  </conditionalFormatting>
  <conditionalFormatting sqref="B136">
    <cfRule type="cellIs" dxfId="0" priority="158" stopIfTrue="1" operator="equal">
      <formula>""</formula>
    </cfRule>
  </conditionalFormatting>
  <conditionalFormatting sqref="C136">
    <cfRule type="cellIs" dxfId="0" priority="159" stopIfTrue="1" operator="equal">
      <formula>""</formula>
    </cfRule>
  </conditionalFormatting>
  <conditionalFormatting sqref="B137">
    <cfRule type="cellIs" dxfId="0" priority="160" stopIfTrue="1" operator="equal">
      <formula>""</formula>
    </cfRule>
  </conditionalFormatting>
  <conditionalFormatting sqref="C137">
    <cfRule type="cellIs" dxfId="0" priority="161" stopIfTrue="1" operator="equal">
      <formula>""</formula>
    </cfRule>
  </conditionalFormatting>
  <conditionalFormatting sqref="B138">
    <cfRule type="cellIs" dxfId="0" priority="162" stopIfTrue="1" operator="equal">
      <formula>""</formula>
    </cfRule>
  </conditionalFormatting>
  <conditionalFormatting sqref="C138">
    <cfRule type="cellIs" dxfId="0" priority="163" stopIfTrue="1" operator="equal">
      <formula>""</formula>
    </cfRule>
  </conditionalFormatting>
  <conditionalFormatting sqref="B139">
    <cfRule type="cellIs" dxfId="0" priority="164" stopIfTrue="1" operator="equal">
      <formula>""</formula>
    </cfRule>
  </conditionalFormatting>
  <conditionalFormatting sqref="C139">
    <cfRule type="cellIs" dxfId="0" priority="165" stopIfTrue="1" operator="equal">
      <formula>""</formula>
    </cfRule>
  </conditionalFormatting>
  <conditionalFormatting sqref="B140">
    <cfRule type="cellIs" dxfId="0" priority="166" stopIfTrue="1" operator="equal">
      <formula>""</formula>
    </cfRule>
  </conditionalFormatting>
  <conditionalFormatting sqref="C140">
    <cfRule type="cellIs" dxfId="0" priority="167" stopIfTrue="1" operator="equal">
      <formula>""</formula>
    </cfRule>
  </conditionalFormatting>
  <conditionalFormatting sqref="B141">
    <cfRule type="cellIs" dxfId="0" priority="168" stopIfTrue="1" operator="equal">
      <formula>""</formula>
    </cfRule>
  </conditionalFormatting>
  <conditionalFormatting sqref="C141">
    <cfRule type="cellIs" dxfId="0" priority="169" stopIfTrue="1" operator="equal">
      <formula>""</formula>
    </cfRule>
  </conditionalFormatting>
  <conditionalFormatting sqref="B142">
    <cfRule type="cellIs" dxfId="0" priority="170" stopIfTrue="1" operator="equal">
      <formula>""</formula>
    </cfRule>
  </conditionalFormatting>
  <conditionalFormatting sqref="C142">
    <cfRule type="cellIs" dxfId="0" priority="171" stopIfTrue="1" operator="equal">
      <formula>""</formula>
    </cfRule>
  </conditionalFormatting>
  <conditionalFormatting sqref="B143">
    <cfRule type="cellIs" dxfId="0" priority="172" stopIfTrue="1" operator="equal">
      <formula>""</formula>
    </cfRule>
  </conditionalFormatting>
  <conditionalFormatting sqref="C143">
    <cfRule type="cellIs" dxfId="0" priority="173" stopIfTrue="1" operator="equal">
      <formula>""</formula>
    </cfRule>
  </conditionalFormatting>
  <conditionalFormatting sqref="B144">
    <cfRule type="cellIs" dxfId="0" priority="174" stopIfTrue="1" operator="equal">
      <formula>""</formula>
    </cfRule>
  </conditionalFormatting>
  <conditionalFormatting sqref="C144">
    <cfRule type="cellIs" dxfId="0" priority="175" stopIfTrue="1" operator="equal">
      <formula>""</formula>
    </cfRule>
  </conditionalFormatting>
  <conditionalFormatting sqref="B145">
    <cfRule type="cellIs" dxfId="0" priority="176" stopIfTrue="1" operator="equal">
      <formula>""</formula>
    </cfRule>
  </conditionalFormatting>
  <conditionalFormatting sqref="C145">
    <cfRule type="cellIs" dxfId="0" priority="177" stopIfTrue="1" operator="equal">
      <formula>""</formula>
    </cfRule>
  </conditionalFormatting>
  <conditionalFormatting sqref="B146">
    <cfRule type="cellIs" dxfId="0" priority="178" stopIfTrue="1" operator="equal">
      <formula>""</formula>
    </cfRule>
  </conditionalFormatting>
  <conditionalFormatting sqref="C146">
    <cfRule type="cellIs" dxfId="0" priority="179" stopIfTrue="1" operator="equal">
      <formula>""</formula>
    </cfRule>
  </conditionalFormatting>
  <conditionalFormatting sqref="B147">
    <cfRule type="cellIs" dxfId="0" priority="180" stopIfTrue="1" operator="equal">
      <formula>""</formula>
    </cfRule>
  </conditionalFormatting>
  <conditionalFormatting sqref="C147">
    <cfRule type="cellIs" dxfId="0" priority="181" stopIfTrue="1" operator="equal">
      <formula>""</formula>
    </cfRule>
  </conditionalFormatting>
  <conditionalFormatting sqref="B148">
    <cfRule type="cellIs" dxfId="0" priority="182" stopIfTrue="1" operator="equal">
      <formula>""</formula>
    </cfRule>
  </conditionalFormatting>
  <conditionalFormatting sqref="C148">
    <cfRule type="cellIs" dxfId="0" priority="183" stopIfTrue="1" operator="equal">
      <formula>""</formula>
    </cfRule>
  </conditionalFormatting>
  <conditionalFormatting sqref="C149">
    <cfRule type="cellIs" dxfId="0" priority="184" stopIfTrue="1" operator="equal">
      <formula>""</formula>
    </cfRule>
  </conditionalFormatting>
  <conditionalFormatting sqref="B150">
    <cfRule type="cellIs" dxfId="0" priority="185" stopIfTrue="1" operator="equal">
      <formula>""</formula>
    </cfRule>
  </conditionalFormatting>
  <conditionalFormatting sqref="C150">
    <cfRule type="cellIs" dxfId="0" priority="186" stopIfTrue="1" operator="equal">
      <formula>""</formula>
    </cfRule>
  </conditionalFormatting>
  <conditionalFormatting sqref="B151">
    <cfRule type="cellIs" dxfId="0" priority="187" stopIfTrue="1" operator="equal">
      <formula>""</formula>
    </cfRule>
  </conditionalFormatting>
  <conditionalFormatting sqref="C151">
    <cfRule type="cellIs" dxfId="0" priority="188" stopIfTrue="1" operator="equal">
      <formula>""</formula>
    </cfRule>
  </conditionalFormatting>
  <conditionalFormatting sqref="B152">
    <cfRule type="cellIs" dxfId="0" priority="189" stopIfTrue="1" operator="equal">
      <formula>""</formula>
    </cfRule>
  </conditionalFormatting>
  <conditionalFormatting sqref="C152">
    <cfRule type="cellIs" dxfId="0" priority="190" stopIfTrue="1" operator="equal">
      <formula>""</formula>
    </cfRule>
  </conditionalFormatting>
  <conditionalFormatting sqref="B153">
    <cfRule type="cellIs" dxfId="0" priority="191" stopIfTrue="1" operator="equal">
      <formula>""</formula>
    </cfRule>
  </conditionalFormatting>
  <conditionalFormatting sqref="C153">
    <cfRule type="cellIs" dxfId="0" priority="192" stopIfTrue="1" operator="equal">
      <formula>""</formula>
    </cfRule>
  </conditionalFormatting>
  <conditionalFormatting sqref="B154">
    <cfRule type="cellIs" dxfId="0" priority="193" stopIfTrue="1" operator="equal">
      <formula>""</formula>
    </cfRule>
  </conditionalFormatting>
  <conditionalFormatting sqref="C154">
    <cfRule type="cellIs" dxfId="0" priority="194" stopIfTrue="1" operator="equal">
      <formula>""</formula>
    </cfRule>
  </conditionalFormatting>
  <conditionalFormatting sqref="B155">
    <cfRule type="cellIs" dxfId="0" priority="195" stopIfTrue="1" operator="equal">
      <formula>""</formula>
    </cfRule>
  </conditionalFormatting>
  <conditionalFormatting sqref="C155">
    <cfRule type="cellIs" dxfId="0" priority="196" stopIfTrue="1" operator="equal">
      <formula>""</formula>
    </cfRule>
  </conditionalFormatting>
  <conditionalFormatting sqref="B156">
    <cfRule type="cellIs" dxfId="0" priority="197" stopIfTrue="1" operator="equal">
      <formula>""</formula>
    </cfRule>
  </conditionalFormatting>
  <conditionalFormatting sqref="C156">
    <cfRule type="cellIs" dxfId="0" priority="198" stopIfTrue="1" operator="equal">
      <formula>""</formula>
    </cfRule>
  </conditionalFormatting>
  <conditionalFormatting sqref="B157">
    <cfRule type="cellIs" dxfId="0" priority="199" stopIfTrue="1" operator="equal">
      <formula>""</formula>
    </cfRule>
  </conditionalFormatting>
  <conditionalFormatting sqref="C157">
    <cfRule type="cellIs" dxfId="0" priority="200" stopIfTrue="1" operator="equal">
      <formula>""</formula>
    </cfRule>
  </conditionalFormatting>
  <conditionalFormatting sqref="B158">
    <cfRule type="cellIs" dxfId="0" priority="201" stopIfTrue="1" operator="equal">
      <formula>""</formula>
    </cfRule>
  </conditionalFormatting>
  <conditionalFormatting sqref="C158">
    <cfRule type="cellIs" dxfId="0" priority="202" stopIfTrue="1" operator="equal">
      <formula>""</formula>
    </cfRule>
  </conditionalFormatting>
  <conditionalFormatting sqref="B159">
    <cfRule type="cellIs" dxfId="0" priority="203" stopIfTrue="1" operator="equal">
      <formula>""</formula>
    </cfRule>
  </conditionalFormatting>
  <conditionalFormatting sqref="C159">
    <cfRule type="cellIs" dxfId="0" priority="204" stopIfTrue="1" operator="equal">
      <formula>""</formula>
    </cfRule>
  </conditionalFormatting>
  <conditionalFormatting sqref="B160">
    <cfRule type="cellIs" dxfId="0" priority="205" stopIfTrue="1" operator="equal">
      <formula>""</formula>
    </cfRule>
  </conditionalFormatting>
  <conditionalFormatting sqref="C160">
    <cfRule type="cellIs" dxfId="0" priority="206" stopIfTrue="1" operator="equal">
      <formula>""</formula>
    </cfRule>
  </conditionalFormatting>
  <conditionalFormatting sqref="B161">
    <cfRule type="cellIs" dxfId="0" priority="207" stopIfTrue="1" operator="equal">
      <formula>""</formula>
    </cfRule>
  </conditionalFormatting>
  <conditionalFormatting sqref="C161">
    <cfRule type="cellIs" dxfId="0" priority="208" stopIfTrue="1" operator="equal">
      <formula>""</formula>
    </cfRule>
  </conditionalFormatting>
  <conditionalFormatting sqref="B162">
    <cfRule type="cellIs" dxfId="0" priority="209" stopIfTrue="1" operator="equal">
      <formula>""</formula>
    </cfRule>
  </conditionalFormatting>
  <conditionalFormatting sqref="C162">
    <cfRule type="cellIs" dxfId="0" priority="210" stopIfTrue="1" operator="equal">
      <formula>""</formula>
    </cfRule>
  </conditionalFormatting>
  <conditionalFormatting sqref="B163">
    <cfRule type="cellIs" dxfId="0" priority="211" stopIfTrue="1" operator="equal">
      <formula>""</formula>
    </cfRule>
  </conditionalFormatting>
  <conditionalFormatting sqref="C163">
    <cfRule type="cellIs" dxfId="0" priority="212" stopIfTrue="1" operator="equal">
      <formula>""</formula>
    </cfRule>
  </conditionalFormatting>
  <conditionalFormatting sqref="B164">
    <cfRule type="cellIs" dxfId="0" priority="213" stopIfTrue="1" operator="equal">
      <formula>""</formula>
    </cfRule>
  </conditionalFormatting>
  <conditionalFormatting sqref="C164">
    <cfRule type="cellIs" dxfId="0" priority="214" stopIfTrue="1" operator="equal">
      <formula>""</formula>
    </cfRule>
  </conditionalFormatting>
  <conditionalFormatting sqref="B165">
    <cfRule type="cellIs" dxfId="0" priority="215" stopIfTrue="1" operator="equal">
      <formula>""</formula>
    </cfRule>
  </conditionalFormatting>
  <conditionalFormatting sqref="C165">
    <cfRule type="cellIs" dxfId="0" priority="216" stopIfTrue="1" operator="equal">
      <formula>""</formula>
    </cfRule>
  </conditionalFormatting>
  <conditionalFormatting sqref="B166">
    <cfRule type="cellIs" dxfId="0" priority="217" stopIfTrue="1" operator="equal">
      <formula>""</formula>
    </cfRule>
  </conditionalFormatting>
  <conditionalFormatting sqref="C166">
    <cfRule type="cellIs" dxfId="0" priority="218" stopIfTrue="1" operator="equal">
      <formula>""</formula>
    </cfRule>
  </conditionalFormatting>
  <conditionalFormatting sqref="B167">
    <cfRule type="cellIs" dxfId="0" priority="219" stopIfTrue="1" operator="equal">
      <formula>""</formula>
    </cfRule>
  </conditionalFormatting>
  <conditionalFormatting sqref="C167">
    <cfRule type="cellIs" dxfId="0" priority="220" stopIfTrue="1" operator="equal">
      <formula>""</formula>
    </cfRule>
  </conditionalFormatting>
  <conditionalFormatting sqref="B168">
    <cfRule type="cellIs" dxfId="0" priority="221" stopIfTrue="1" operator="equal">
      <formula>""</formula>
    </cfRule>
  </conditionalFormatting>
  <conditionalFormatting sqref="C168">
    <cfRule type="cellIs" dxfId="0" priority="222" stopIfTrue="1" operator="equal">
      <formula>""</formula>
    </cfRule>
  </conditionalFormatting>
  <conditionalFormatting sqref="B169">
    <cfRule type="cellIs" dxfId="0" priority="223" stopIfTrue="1" operator="equal">
      <formula>""</formula>
    </cfRule>
  </conditionalFormatting>
  <conditionalFormatting sqref="C169">
    <cfRule type="cellIs" dxfId="0" priority="224" stopIfTrue="1" operator="equal">
      <formula>""</formula>
    </cfRule>
  </conditionalFormatting>
  <conditionalFormatting sqref="B170">
    <cfRule type="cellIs" dxfId="0" priority="225" stopIfTrue="1" operator="equal">
      <formula>""</formula>
    </cfRule>
  </conditionalFormatting>
  <conditionalFormatting sqref="C170">
    <cfRule type="cellIs" dxfId="0" priority="226" stopIfTrue="1" operator="equal">
      <formula>""</formula>
    </cfRule>
  </conditionalFormatting>
  <conditionalFormatting sqref="B171">
    <cfRule type="cellIs" dxfId="0" priority="227" stopIfTrue="1" operator="equal">
      <formula>""</formula>
    </cfRule>
  </conditionalFormatting>
  <conditionalFormatting sqref="C171">
    <cfRule type="cellIs" dxfId="0" priority="228" stopIfTrue="1" operator="equal">
      <formula>""</formula>
    </cfRule>
  </conditionalFormatting>
  <conditionalFormatting sqref="B172">
    <cfRule type="cellIs" dxfId="0" priority="3" stopIfTrue="1" operator="equal">
      <formula>""</formula>
    </cfRule>
  </conditionalFormatting>
  <conditionalFormatting sqref="C172">
    <cfRule type="cellIs" dxfId="0" priority="4" stopIfTrue="1" operator="equal">
      <formula>""</formula>
    </cfRule>
  </conditionalFormatting>
  <conditionalFormatting sqref="B173">
    <cfRule type="cellIs" dxfId="0" priority="229" stopIfTrue="1" operator="equal">
      <formula>""</formula>
    </cfRule>
  </conditionalFormatting>
  <conditionalFormatting sqref="C173">
    <cfRule type="cellIs" dxfId="0" priority="230" stopIfTrue="1" operator="equal">
      <formula>""</formula>
    </cfRule>
  </conditionalFormatting>
  <conditionalFormatting sqref="B174">
    <cfRule type="cellIs" dxfId="0" priority="231" stopIfTrue="1" operator="equal">
      <formula>""</formula>
    </cfRule>
  </conditionalFormatting>
  <conditionalFormatting sqref="C174">
    <cfRule type="cellIs" dxfId="0" priority="232" stopIfTrue="1" operator="equal">
      <formula>""</formula>
    </cfRule>
  </conditionalFormatting>
  <conditionalFormatting sqref="B175">
    <cfRule type="cellIs" dxfId="0" priority="233" stopIfTrue="1" operator="equal">
      <formula>""</formula>
    </cfRule>
  </conditionalFormatting>
  <conditionalFormatting sqref="C175">
    <cfRule type="cellIs" dxfId="0" priority="234" stopIfTrue="1" operator="equal">
      <formula>""</formula>
    </cfRule>
  </conditionalFormatting>
  <conditionalFormatting sqref="B176">
    <cfRule type="cellIs" dxfId="0" priority="235" stopIfTrue="1" operator="equal">
      <formula>""</formula>
    </cfRule>
  </conditionalFormatting>
  <conditionalFormatting sqref="C176">
    <cfRule type="cellIs" dxfId="0" priority="236" stopIfTrue="1" operator="equal">
      <formula>""</formula>
    </cfRule>
  </conditionalFormatting>
  <conditionalFormatting sqref="B177">
    <cfRule type="cellIs" dxfId="0" priority="237" stopIfTrue="1" operator="equal">
      <formula>""</formula>
    </cfRule>
  </conditionalFormatting>
  <conditionalFormatting sqref="C177">
    <cfRule type="cellIs" dxfId="0" priority="238" stopIfTrue="1" operator="equal">
      <formula>""</formula>
    </cfRule>
  </conditionalFormatting>
  <conditionalFormatting sqref="B178">
    <cfRule type="cellIs" dxfId="0" priority="239" stopIfTrue="1" operator="equal">
      <formula>""</formula>
    </cfRule>
  </conditionalFormatting>
  <conditionalFormatting sqref="C178">
    <cfRule type="cellIs" dxfId="0" priority="240" stopIfTrue="1" operator="equal">
      <formula>""</formula>
    </cfRule>
  </conditionalFormatting>
  <conditionalFormatting sqref="B179">
    <cfRule type="cellIs" dxfId="0" priority="241" stopIfTrue="1" operator="equal">
      <formula>""</formula>
    </cfRule>
  </conditionalFormatting>
  <conditionalFormatting sqref="C179">
    <cfRule type="cellIs" dxfId="0" priority="242" stopIfTrue="1" operator="equal">
      <formula>""</formula>
    </cfRule>
  </conditionalFormatting>
  <conditionalFormatting sqref="B180">
    <cfRule type="cellIs" dxfId="0" priority="243" stopIfTrue="1" operator="equal">
      <formula>""</formula>
    </cfRule>
  </conditionalFormatting>
  <conditionalFormatting sqref="C180">
    <cfRule type="cellIs" dxfId="0" priority="244" stopIfTrue="1" operator="equal">
      <formula>""</formula>
    </cfRule>
  </conditionalFormatting>
  <conditionalFormatting sqref="B181">
    <cfRule type="cellIs" dxfId="0" priority="245" stopIfTrue="1" operator="equal">
      <formula>""</formula>
    </cfRule>
  </conditionalFormatting>
  <conditionalFormatting sqref="C181">
    <cfRule type="cellIs" dxfId="0" priority="246" stopIfTrue="1" operator="equal">
      <formula>""</formula>
    </cfRule>
  </conditionalFormatting>
  <conditionalFormatting sqref="B182">
    <cfRule type="cellIs" dxfId="0" priority="247" stopIfTrue="1" operator="equal">
      <formula>""</formula>
    </cfRule>
  </conditionalFormatting>
  <conditionalFormatting sqref="C182">
    <cfRule type="cellIs" dxfId="0" priority="248" stopIfTrue="1" operator="equal">
      <formula>""</formula>
    </cfRule>
  </conditionalFormatting>
  <conditionalFormatting sqref="B183">
    <cfRule type="cellIs" dxfId="0" priority="249" stopIfTrue="1" operator="equal">
      <formula>""</formula>
    </cfRule>
  </conditionalFormatting>
  <conditionalFormatting sqref="C183">
    <cfRule type="cellIs" dxfId="0" priority="250" stopIfTrue="1" operator="equal">
      <formula>""</formula>
    </cfRule>
  </conditionalFormatting>
  <conditionalFormatting sqref="B184">
    <cfRule type="cellIs" dxfId="0" priority="251" stopIfTrue="1" operator="equal">
      <formula>""</formula>
    </cfRule>
  </conditionalFormatting>
  <conditionalFormatting sqref="C184">
    <cfRule type="cellIs" dxfId="0" priority="252" stopIfTrue="1" operator="equal">
      <formula>""</formula>
    </cfRule>
  </conditionalFormatting>
  <conditionalFormatting sqref="B185">
    <cfRule type="cellIs" dxfId="0" priority="253" stopIfTrue="1" operator="equal">
      <formula>""</formula>
    </cfRule>
  </conditionalFormatting>
  <conditionalFormatting sqref="C185">
    <cfRule type="cellIs" dxfId="0" priority="254" stopIfTrue="1" operator="equal">
      <formula>""</formula>
    </cfRule>
  </conditionalFormatting>
  <conditionalFormatting sqref="B188">
    <cfRule type="cellIs" dxfId="0" priority="257" stopIfTrue="1" operator="equal">
      <formula>""</formula>
    </cfRule>
  </conditionalFormatting>
  <conditionalFormatting sqref="C188">
    <cfRule type="cellIs" dxfId="0" priority="258" stopIfTrue="1" operator="equal">
      <formula>""</formula>
    </cfRule>
  </conditionalFormatting>
  <conditionalFormatting sqref="B189">
    <cfRule type="cellIs" dxfId="0" priority="259" stopIfTrue="1" operator="equal">
      <formula>""</formula>
    </cfRule>
  </conditionalFormatting>
  <conditionalFormatting sqref="C189">
    <cfRule type="cellIs" dxfId="0" priority="260" stopIfTrue="1" operator="equal">
      <formula>""</formula>
    </cfRule>
  </conditionalFormatting>
  <conditionalFormatting sqref="B190">
    <cfRule type="cellIs" dxfId="0" priority="261" stopIfTrue="1" operator="equal">
      <formula>""</formula>
    </cfRule>
  </conditionalFormatting>
  <conditionalFormatting sqref="C190">
    <cfRule type="cellIs" dxfId="0" priority="262" stopIfTrue="1" operator="equal">
      <formula>""</formula>
    </cfRule>
  </conditionalFormatting>
  <conditionalFormatting sqref="B191">
    <cfRule type="cellIs" dxfId="0" priority="263" stopIfTrue="1" operator="equal">
      <formula>""</formula>
    </cfRule>
  </conditionalFormatting>
  <conditionalFormatting sqref="C191">
    <cfRule type="cellIs" dxfId="0" priority="264" stopIfTrue="1" operator="equal">
      <formula>""</formula>
    </cfRule>
  </conditionalFormatting>
  <conditionalFormatting sqref="B192">
    <cfRule type="cellIs" dxfId="0" priority="265" stopIfTrue="1" operator="equal">
      <formula>""</formula>
    </cfRule>
  </conditionalFormatting>
  <conditionalFormatting sqref="C192">
    <cfRule type="cellIs" dxfId="0" priority="266" stopIfTrue="1" operator="equal">
      <formula>""</formula>
    </cfRule>
  </conditionalFormatting>
  <conditionalFormatting sqref="B193">
    <cfRule type="cellIs" dxfId="0" priority="267" stopIfTrue="1" operator="equal">
      <formula>""</formula>
    </cfRule>
  </conditionalFormatting>
  <conditionalFormatting sqref="C193">
    <cfRule type="cellIs" dxfId="0" priority="268" stopIfTrue="1" operator="equal">
      <formula>""</formula>
    </cfRule>
  </conditionalFormatting>
  <conditionalFormatting sqref="B194">
    <cfRule type="cellIs" dxfId="0" priority="269" stopIfTrue="1" operator="equal">
      <formula>""</formula>
    </cfRule>
  </conditionalFormatting>
  <conditionalFormatting sqref="C194">
    <cfRule type="cellIs" dxfId="0" priority="270" stopIfTrue="1" operator="equal">
      <formula>""</formula>
    </cfRule>
  </conditionalFormatting>
  <conditionalFormatting sqref="B195">
    <cfRule type="cellIs" dxfId="0" priority="271" stopIfTrue="1" operator="equal">
      <formula>""</formula>
    </cfRule>
  </conditionalFormatting>
  <conditionalFormatting sqref="C195">
    <cfRule type="cellIs" dxfId="0" priority="272" stopIfTrue="1" operator="equal">
      <formula>""</formula>
    </cfRule>
  </conditionalFormatting>
  <conditionalFormatting sqref="B196">
    <cfRule type="cellIs" dxfId="0" priority="273" stopIfTrue="1" operator="equal">
      <formula>""</formula>
    </cfRule>
  </conditionalFormatting>
  <conditionalFormatting sqref="C196">
    <cfRule type="cellIs" dxfId="0" priority="274" stopIfTrue="1" operator="equal">
      <formula>""</formula>
    </cfRule>
  </conditionalFormatting>
  <conditionalFormatting sqref="B197">
    <cfRule type="cellIs" dxfId="0" priority="275" stopIfTrue="1" operator="equal">
      <formula>""</formula>
    </cfRule>
  </conditionalFormatting>
  <conditionalFormatting sqref="C197">
    <cfRule type="cellIs" dxfId="0" priority="276" stopIfTrue="1" operator="equal">
      <formula>""</formula>
    </cfRule>
  </conditionalFormatting>
  <conditionalFormatting sqref="B198">
    <cfRule type="cellIs" dxfId="0" priority="277" stopIfTrue="1" operator="equal">
      <formula>""</formula>
    </cfRule>
  </conditionalFormatting>
  <conditionalFormatting sqref="C198">
    <cfRule type="cellIs" dxfId="0" priority="278" stopIfTrue="1" operator="equal">
      <formula>""</formula>
    </cfRule>
  </conditionalFormatting>
  <conditionalFormatting sqref="B199">
    <cfRule type="cellIs" dxfId="0" priority="279" stopIfTrue="1" operator="equal">
      <formula>""</formula>
    </cfRule>
  </conditionalFormatting>
  <conditionalFormatting sqref="C199">
    <cfRule type="cellIs" dxfId="0" priority="280" stopIfTrue="1" operator="equal">
      <formula>""</formula>
    </cfRule>
  </conditionalFormatting>
  <conditionalFormatting sqref="B200">
    <cfRule type="cellIs" dxfId="0" priority="281" stopIfTrue="1" operator="equal">
      <formula>""</formula>
    </cfRule>
  </conditionalFormatting>
  <conditionalFormatting sqref="C200">
    <cfRule type="cellIs" dxfId="0" priority="282" stopIfTrue="1" operator="equal">
      <formula>""</formula>
    </cfRule>
  </conditionalFormatting>
  <conditionalFormatting sqref="B201">
    <cfRule type="cellIs" dxfId="0" priority="283" stopIfTrue="1" operator="equal">
      <formula>""</formula>
    </cfRule>
  </conditionalFormatting>
  <conditionalFormatting sqref="C201">
    <cfRule type="cellIs" dxfId="0" priority="284" stopIfTrue="1" operator="equal">
      <formula>""</formula>
    </cfRule>
  </conditionalFormatting>
  <conditionalFormatting sqref="B202">
    <cfRule type="cellIs" dxfId="0" priority="285" stopIfTrue="1" operator="equal">
      <formula>""</formula>
    </cfRule>
  </conditionalFormatting>
  <conditionalFormatting sqref="C202">
    <cfRule type="cellIs" dxfId="0" priority="286" stopIfTrue="1" operator="equal">
      <formula>""</formula>
    </cfRule>
  </conditionalFormatting>
  <conditionalFormatting sqref="B203">
    <cfRule type="cellIs" dxfId="0" priority="287" stopIfTrue="1" operator="equal">
      <formula>""</formula>
    </cfRule>
  </conditionalFormatting>
  <conditionalFormatting sqref="C203">
    <cfRule type="cellIs" dxfId="0" priority="288" stopIfTrue="1" operator="equal">
      <formula>""</formula>
    </cfRule>
  </conditionalFormatting>
  <conditionalFormatting sqref="B204">
    <cfRule type="cellIs" dxfId="0" priority="289" stopIfTrue="1" operator="equal">
      <formula>""</formula>
    </cfRule>
  </conditionalFormatting>
  <conditionalFormatting sqref="C204">
    <cfRule type="cellIs" dxfId="0" priority="290" stopIfTrue="1" operator="equal">
      <formula>""</formula>
    </cfRule>
  </conditionalFormatting>
  <conditionalFormatting sqref="B205">
    <cfRule type="cellIs" dxfId="0" priority="291" stopIfTrue="1" operator="equal">
      <formula>""</formula>
    </cfRule>
  </conditionalFormatting>
  <conditionalFormatting sqref="C205">
    <cfRule type="cellIs" dxfId="0" priority="292" stopIfTrue="1" operator="equal">
      <formula>""</formula>
    </cfRule>
  </conditionalFormatting>
  <conditionalFormatting sqref="B206">
    <cfRule type="cellIs" dxfId="0" priority="293" stopIfTrue="1" operator="equal">
      <formula>""</formula>
    </cfRule>
  </conditionalFormatting>
  <conditionalFormatting sqref="C206">
    <cfRule type="cellIs" dxfId="0" priority="294" stopIfTrue="1" operator="equal">
      <formula>""</formula>
    </cfRule>
  </conditionalFormatting>
  <conditionalFormatting sqref="B207">
    <cfRule type="cellIs" dxfId="0" priority="295" stopIfTrue="1" operator="equal">
      <formula>""</formula>
    </cfRule>
  </conditionalFormatting>
  <conditionalFormatting sqref="C207">
    <cfRule type="cellIs" dxfId="0" priority="296" stopIfTrue="1" operator="equal">
      <formula>""</formula>
    </cfRule>
  </conditionalFormatting>
  <conditionalFormatting sqref="B208">
    <cfRule type="cellIs" dxfId="0" priority="297" stopIfTrue="1" operator="equal">
      <formula>""</formula>
    </cfRule>
  </conditionalFormatting>
  <conditionalFormatting sqref="C208">
    <cfRule type="cellIs" dxfId="0" priority="298" stopIfTrue="1" operator="equal">
      <formula>""</formula>
    </cfRule>
  </conditionalFormatting>
  <conditionalFormatting sqref="B209">
    <cfRule type="cellIs" dxfId="0" priority="299" stopIfTrue="1" operator="equal">
      <formula>""</formula>
    </cfRule>
  </conditionalFormatting>
  <conditionalFormatting sqref="C209">
    <cfRule type="cellIs" dxfId="0" priority="300" stopIfTrue="1" operator="equal">
      <formula>""</formula>
    </cfRule>
  </conditionalFormatting>
  <conditionalFormatting sqref="B210">
    <cfRule type="cellIs" dxfId="0" priority="301" stopIfTrue="1" operator="equal">
      <formula>""</formula>
    </cfRule>
  </conditionalFormatting>
  <conditionalFormatting sqref="C210">
    <cfRule type="cellIs" dxfId="0" priority="302" stopIfTrue="1" operator="equal">
      <formula>""</formula>
    </cfRule>
  </conditionalFormatting>
  <conditionalFormatting sqref="B211">
    <cfRule type="cellIs" dxfId="0" priority="303" stopIfTrue="1" operator="equal">
      <formula>""</formula>
    </cfRule>
  </conditionalFormatting>
  <conditionalFormatting sqref="C211">
    <cfRule type="cellIs" dxfId="0" priority="304" stopIfTrue="1" operator="equal">
      <formula>""</formula>
    </cfRule>
  </conditionalFormatting>
  <conditionalFormatting sqref="B212">
    <cfRule type="cellIs" dxfId="0" priority="305" stopIfTrue="1" operator="equal">
      <formula>""</formula>
    </cfRule>
  </conditionalFormatting>
  <conditionalFormatting sqref="C212">
    <cfRule type="cellIs" dxfId="0" priority="306" stopIfTrue="1" operator="equal">
      <formula>""</formula>
    </cfRule>
  </conditionalFormatting>
  <conditionalFormatting sqref="B213">
    <cfRule type="cellIs" dxfId="0" priority="307" stopIfTrue="1" operator="equal">
      <formula>""</formula>
    </cfRule>
  </conditionalFormatting>
  <conditionalFormatting sqref="C213">
    <cfRule type="cellIs" dxfId="0" priority="308" stopIfTrue="1" operator="equal">
      <formula>""</formula>
    </cfRule>
  </conditionalFormatting>
  <conditionalFormatting sqref="B214">
    <cfRule type="cellIs" dxfId="0" priority="309" stopIfTrue="1" operator="equal">
      <formula>""</formula>
    </cfRule>
  </conditionalFormatting>
  <conditionalFormatting sqref="C214">
    <cfRule type="cellIs" dxfId="0" priority="310" stopIfTrue="1" operator="equal">
      <formula>""</formula>
    </cfRule>
  </conditionalFormatting>
  <conditionalFormatting sqref="B215">
    <cfRule type="cellIs" dxfId="0" priority="311" stopIfTrue="1" operator="equal">
      <formula>""</formula>
    </cfRule>
  </conditionalFormatting>
  <conditionalFormatting sqref="C215">
    <cfRule type="cellIs" dxfId="0" priority="312" stopIfTrue="1" operator="equal">
      <formula>""</formula>
    </cfRule>
  </conditionalFormatting>
  <conditionalFormatting sqref="B218">
    <cfRule type="cellIs" dxfId="0" priority="315" stopIfTrue="1" operator="equal">
      <formula>""</formula>
    </cfRule>
  </conditionalFormatting>
  <conditionalFormatting sqref="C218">
    <cfRule type="cellIs" dxfId="0" priority="316" stopIfTrue="1" operator="equal">
      <formula>""</formula>
    </cfRule>
  </conditionalFormatting>
  <conditionalFormatting sqref="B219">
    <cfRule type="cellIs" dxfId="0" priority="317" stopIfTrue="1" operator="equal">
      <formula>""</formula>
    </cfRule>
  </conditionalFormatting>
  <conditionalFormatting sqref="C219">
    <cfRule type="cellIs" dxfId="0" priority="318" stopIfTrue="1" operator="equal">
      <formula>""</formula>
    </cfRule>
  </conditionalFormatting>
  <conditionalFormatting sqref="B13:B15">
    <cfRule type="cellIs" dxfId="0" priority="22" stopIfTrue="1" operator="equal">
      <formula>""</formula>
    </cfRule>
  </conditionalFormatting>
  <conditionalFormatting sqref="B70:B71">
    <cfRule type="cellIs" dxfId="0" priority="77" stopIfTrue="1" operator="equal">
      <formula>""</formula>
    </cfRule>
  </conditionalFormatting>
  <conditionalFormatting sqref="B72:B74">
    <cfRule type="cellIs" dxfId="0" priority="78" stopIfTrue="1" operator="equal">
      <formula>""</formula>
    </cfRule>
  </conditionalFormatting>
  <conditionalFormatting sqref="B109:B110">
    <cfRule type="cellIs" dxfId="0" priority="319" stopIfTrue="1" operator="equal">
      <formula>""</formula>
    </cfRule>
  </conditionalFormatting>
  <conditionalFormatting sqref="B133:B134">
    <cfRule type="cellIs" dxfId="0" priority="154" stopIfTrue="1" operator="equal">
      <formula>""</formula>
    </cfRule>
  </conditionalFormatting>
  <conditionalFormatting sqref="B186:B187">
    <cfRule type="cellIs" dxfId="0" priority="255" stopIfTrue="1" operator="equal">
      <formula>""</formula>
    </cfRule>
  </conditionalFormatting>
  <conditionalFormatting sqref="B216:B217">
    <cfRule type="cellIs" dxfId="0" priority="313" stopIfTrue="1" operator="equal">
      <formula>""</formula>
    </cfRule>
  </conditionalFormatting>
  <conditionalFormatting sqref="C109:C110">
    <cfRule type="cellIs" dxfId="0" priority="320" stopIfTrue="1" operator="equal">
      <formula>""</formula>
    </cfRule>
  </conditionalFormatting>
  <conditionalFormatting sqref="C133:C134">
    <cfRule type="cellIs" dxfId="0" priority="155" stopIfTrue="1" operator="equal">
      <formula>""</formula>
    </cfRule>
  </conditionalFormatting>
  <conditionalFormatting sqref="C186:C187">
    <cfRule type="cellIs" dxfId="0" priority="256" stopIfTrue="1" operator="equal">
      <formula>""</formula>
    </cfRule>
  </conditionalFormatting>
  <conditionalFormatting sqref="C216:C217">
    <cfRule type="cellIs" dxfId="0" priority="314" stopIfTrue="1" operator="equal">
      <formula>""</formula>
    </cfRule>
  </conditionalFormatting>
  <conditionalFormatting sqref="A5 A9 A13:A14 A17:A18 A21:A23 A25 A29 A31:A33 A36:A37 A40:A41 A45 A49:A50 A53:A54 A57:A59 A61 A65 A67:A69 A72:A73 A76:A77 A81 A85:A86 A89:A90 A93:A95 A97 A101 A103:A105 A108:A109 A112:A113 A117 A121:A122 A125:A126 A129:A131 A133 A137 A139:A141 A144:A145 A148:A149 A153 A157:A158 A161:A162 A165:A167 A169 A174:A176 A182 A178 A184:A187 A215:A216 A211:A212 A191 A193:A195 A198:A199 A202:A203 A207 A27 A63 A99 A135 A171 A180 A189">
    <cfRule type="expression" dxfId="1" priority="7" stopIfTrue="1">
      <formula>#REF!="完成"</formula>
    </cfRule>
    <cfRule type="expression" dxfId="1" priority="6" stopIfTrue="1">
      <formula>#REF!="完成"</formula>
    </cfRule>
  </conditionalFormatting>
  <conditionalFormatting sqref="C5:D105">
    <cfRule type="cellIs" dxfId="0" priority="321" stopIfTrue="1" operator="equal">
      <formula>""</formula>
    </cfRule>
  </conditionalFormatting>
  <conditionalFormatting sqref="A6 A10 A14:A15 A18:A19 A22 A26 A30 A33:A34 A37:A38 A42 A46 A50:A51 A54:A55 A58 A62 A66 A69:A70 A73:A74 A78 A82 A86:A87 A90:A91 A94 A98 A102 A105:A106 A109:A110 A114 A118 A122:A123 A126:A127 A130 A134 A138 A141:A142 A145:A146 A150 A154 A158:A159 A162:A163 A166 A170 A175 A183 A179 A216:A217 A188 A192 A195:A196 A199:A200 A204 A208 A212:A213 A24 A60 A96 A132 A168 A177 A186 A28 A64 A100 A136 A172 A181 A190">
    <cfRule type="expression" dxfId="1" priority="10" stopIfTrue="1">
      <formula>#REF!="完成"</formula>
    </cfRule>
    <cfRule type="expression" dxfId="1" priority="9" stopIfTrue="1">
      <formula>#REF!="完成"</formula>
    </cfRule>
  </conditionalFormatting>
  <conditionalFormatting sqref="A7 A11 A15:A16 A19:A20 A23 A27 A31 A34:A35 A38:A39 A43 A47 A51:A52 A55:A56 A59 A63 A67 A70:A71 A74:A75 A79 A83 A87:A88 A91:A92 A95 A99 A103 A106:A107 A110:A111 A115 A119 A123:A124 A127:A128 A131 A135 A139 A142:A143 A146:A147 A151 A155 A159:A160 A163:A164 A167 A171 A176 A180 A184 A209 A213:A214 A189 A193 A196:A197 A200:A201 A205 A218 A25 A61 A97 A133 A169 A178 A187 A29 A65 A101 A137 A173 A182 A191">
    <cfRule type="expression" dxfId="1" priority="13" stopIfTrue="1">
      <formula>#REF!="完成"</formula>
    </cfRule>
    <cfRule type="expression" dxfId="1" priority="12" stopIfTrue="1">
      <formula>#REF!="完成"</formula>
    </cfRule>
  </conditionalFormatting>
  <conditionalFormatting sqref="A8 A12 A16:A17 A20:A21 A24 A28 A32 A35:A36 A39:A40 A44 A48 A52:A53 A56:A57 A60 A64 A68 A71:A72 A75:A76 A80 A84 A88:A89 A92:A93 A96 A100 A104 A107:A108 A111:A112 A116 A120 A124:A125 A128:A129 A136 A140 A143:A144 A147:A148 A152 A156 A160:A161 A164:A165 A168 A173:A174 A181 A177 A185 A210 A214:A215 A190 A194 A197:A198 A201:A202 A206 A219 A26 A62 A98 A134 A170 A179 A188 A30 A66 A102 A138 A183 A192">
    <cfRule type="expression" dxfId="1" priority="16" stopIfTrue="1">
      <formula>#REF!="完成"</formula>
    </cfRule>
    <cfRule type="expression" dxfId="1" priority="15" stopIfTrue="1">
      <formula>#REF!="完成"</formula>
    </cfRule>
  </conditionalFormatting>
  <conditionalFormatting sqref="C106:D108 B149">
    <cfRule type="cellIs" dxfId="0" priority="322" stopIfTrue="1" operator="equal">
      <formula>""</formula>
    </cfRule>
  </conditionalFormatting>
  <dataValidations count="1">
    <dataValidation type="list" allowBlank="1" showInputMessage="1" showErrorMessage="1" sqref="E5:E219">
      <formula1>"混凝土坝,土石坝"</formula1>
    </dataValidation>
  </dataValidations>
  <pageMargins left="0.751388888888889" right="0.751388888888889" top="1" bottom="1" header="0.5" footer="0.5"/>
  <pageSetup paperSize="9" scale="41" orientation="landscape" horizontalDpi="6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Y49"/>
  <sheetViews>
    <sheetView workbookViewId="0">
      <selection activeCell="P8" sqref="P8:Q8"/>
    </sheetView>
  </sheetViews>
  <sheetFormatPr defaultColWidth="9" defaultRowHeight="13.5" customHeight="1"/>
  <cols>
    <col min="1" max="1" width="3.625" style="1" customWidth="1"/>
    <col min="2" max="2" width="9.5" style="1" customWidth="1"/>
    <col min="3" max="3" width="7.625" style="1" customWidth="1"/>
    <col min="4" max="4" width="7.875" style="1" customWidth="1"/>
    <col min="5" max="5" width="7.625" style="6" customWidth="1"/>
    <col min="6" max="6" width="8.125" style="6" customWidth="1"/>
    <col min="7" max="7" width="6.375" style="1" customWidth="1"/>
    <col min="8" max="8" width="6.25" style="1" customWidth="1"/>
    <col min="9" max="9" width="5.5" style="1" customWidth="1"/>
    <col min="10" max="10" width="8" style="1" customWidth="1"/>
    <col min="11" max="11" width="5" style="1" customWidth="1"/>
    <col min="12" max="12" width="7.875" style="1" customWidth="1"/>
    <col min="13" max="13" width="7" style="1" customWidth="1"/>
    <col min="14" max="14" width="5.875" style="1" customWidth="1"/>
    <col min="15" max="15" width="16.5166666666667" style="1" customWidth="1"/>
    <col min="16" max="16" width="14.6666666666667" style="1" customWidth="1"/>
    <col min="17" max="17" width="12.7166666666667" style="1" customWidth="1"/>
    <col min="18" max="18" width="12.1666666666667" style="1" customWidth="1"/>
    <col min="19" max="19" width="18.75" style="1" customWidth="1"/>
    <col min="20" max="20" width="13.5" style="1" customWidth="1"/>
    <col min="21" max="21" width="9.5" style="1" customWidth="1"/>
    <col min="22" max="22" width="11" style="1" customWidth="1"/>
    <col min="23" max="23" width="16.75" style="1" customWidth="1"/>
    <col min="24" max="25" width="11.125" style="1"/>
    <col min="26" max="16384" width="9" style="1"/>
  </cols>
  <sheetData>
    <row r="1" s="1" customFormat="1" ht="30" customHeight="1" spans="1:24">
      <c r="A1" s="7" t="s">
        <v>401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="1" customFormat="1" ht="18" customHeight="1" spans="1:24">
      <c r="A2" s="8" t="s">
        <v>2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402</v>
      </c>
      <c r="G2" s="8" t="s">
        <v>403</v>
      </c>
      <c r="H2" s="8" t="s">
        <v>404</v>
      </c>
      <c r="I2" s="8" t="s">
        <v>405</v>
      </c>
      <c r="J2" s="8" t="s">
        <v>406</v>
      </c>
      <c r="K2" s="8" t="s">
        <v>407</v>
      </c>
      <c r="L2" s="8" t="s">
        <v>408</v>
      </c>
      <c r="M2" s="8" t="s">
        <v>409</v>
      </c>
      <c r="N2" s="8" t="s">
        <v>410</v>
      </c>
      <c r="O2" s="9" t="s">
        <v>411</v>
      </c>
      <c r="P2" s="9"/>
      <c r="Q2" s="9"/>
      <c r="R2" s="9"/>
      <c r="S2" s="9"/>
      <c r="T2" s="9"/>
      <c r="U2" s="9"/>
      <c r="V2" s="9"/>
      <c r="W2" s="9"/>
      <c r="X2" s="9"/>
    </row>
    <row r="3" s="1" customFormat="1" ht="19.5" customHeight="1" spans="1:2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1" t="s">
        <v>412</v>
      </c>
      <c r="P3" s="11" t="s">
        <v>413</v>
      </c>
      <c r="Q3" s="11" t="s">
        <v>414</v>
      </c>
      <c r="R3" s="22" t="s">
        <v>415</v>
      </c>
      <c r="S3" s="23" t="s">
        <v>416</v>
      </c>
      <c r="T3" s="23" t="s">
        <v>417</v>
      </c>
      <c r="U3" s="22" t="s">
        <v>418</v>
      </c>
      <c r="V3" s="22" t="s">
        <v>419</v>
      </c>
      <c r="W3" s="22" t="s">
        <v>420</v>
      </c>
      <c r="X3" s="22" t="s">
        <v>14</v>
      </c>
    </row>
    <row r="4" s="1" customFormat="1" ht="23" customHeight="1" spans="1:24">
      <c r="A4" s="9"/>
      <c r="B4" s="9"/>
      <c r="C4" s="9"/>
      <c r="D4" s="9"/>
      <c r="E4" s="8"/>
      <c r="F4" s="9"/>
      <c r="G4" s="9"/>
      <c r="H4" s="8"/>
      <c r="I4" s="8"/>
      <c r="J4" s="8"/>
      <c r="K4" s="8"/>
      <c r="L4" s="9"/>
      <c r="M4" s="9"/>
      <c r="N4" s="8"/>
      <c r="O4" s="9">
        <v>1.1</v>
      </c>
      <c r="P4" s="9">
        <v>2.1</v>
      </c>
      <c r="Q4" s="9">
        <v>3.1</v>
      </c>
      <c r="R4" s="22"/>
      <c r="S4" s="23"/>
      <c r="T4" s="23"/>
      <c r="U4" s="22"/>
      <c r="V4" s="22"/>
      <c r="W4" s="22"/>
      <c r="X4" s="22"/>
    </row>
    <row r="5" s="2" customFormat="1" customHeight="1" spans="1:24">
      <c r="A5" s="10">
        <v>1</v>
      </c>
      <c r="B5" s="11" t="s">
        <v>350</v>
      </c>
      <c r="C5" s="11" t="s">
        <v>22</v>
      </c>
      <c r="D5" s="11" t="s">
        <v>26</v>
      </c>
      <c r="E5" s="11" t="s">
        <v>24</v>
      </c>
      <c r="F5" s="12">
        <v>17.5</v>
      </c>
      <c r="G5" s="13">
        <v>68</v>
      </c>
      <c r="H5" s="14">
        <f t="shared" ref="H5:H8" si="0">1+(F5-13)/13</f>
        <v>1.34615384615385</v>
      </c>
      <c r="I5" s="17">
        <f t="shared" ref="I5:I10" si="1">1+(G5-100)/10/10</f>
        <v>0.68</v>
      </c>
      <c r="J5" s="17">
        <v>1</v>
      </c>
      <c r="K5" s="17">
        <f t="shared" ref="K5:K23" si="2">H5*I5*J5</f>
        <v>0.915384615384615</v>
      </c>
      <c r="L5" s="17">
        <f>SQRT(19.5*19.5+39*39)*68</f>
        <v>2965.02613816472</v>
      </c>
      <c r="M5" s="11">
        <v>5</v>
      </c>
      <c r="N5" s="18">
        <f t="shared" ref="N5:N23" si="3">IF(OR(M5&gt;7),1,IF(OR(M5&gt;5),2,IF(OR(M5&gt;3),3,IF(OR(M5&gt;1),4,5))))</f>
        <v>3</v>
      </c>
      <c r="O5" s="19">
        <f t="shared" ref="O5:O23" si="4">CHOOSE(N5,8630,7495,6057,4669,3686)*$K5</f>
        <v>5544.48461538462</v>
      </c>
      <c r="P5" s="19">
        <f t="shared" ref="P5:P23" si="5">CHOOSE(N5,2261,1756,1482,944,624)*J5</f>
        <v>1482</v>
      </c>
      <c r="Q5" s="19">
        <f t="shared" ref="Q5:Q23" si="6">CHOOSE(N5,288,230,173,115,58)</f>
        <v>173</v>
      </c>
      <c r="R5" s="19">
        <f t="shared" ref="R5:R23" si="7">L5*3.41072</f>
        <v>10112.8739499612</v>
      </c>
      <c r="S5" s="19">
        <f t="shared" ref="S5:S23" si="8">100000*F5*G5/2000*0.01</f>
        <v>595</v>
      </c>
      <c r="T5" s="19">
        <f t="shared" ref="T5:T23" si="9">6.25*40</f>
        <v>250</v>
      </c>
      <c r="U5" s="19">
        <f t="shared" ref="U5:U23" si="10">(O5+P5+Q5+R5+S5+T5)*0.045</f>
        <v>817.081135440561</v>
      </c>
      <c r="V5" s="19">
        <f t="shared" ref="V5:V23" si="11">(O5+P5+Q5+R5+S5+T5+U5)*0.09</f>
        <v>1707.69957307077</v>
      </c>
      <c r="W5" s="19">
        <f t="shared" ref="W5:W23" si="12">(O5+P5+Q5+R5+S5+T5+U5+V5)*0.0045</f>
        <v>93.0696267323571</v>
      </c>
      <c r="X5" s="19">
        <f t="shared" ref="X5:X23" si="13">SUM(O5:W5)</f>
        <v>20775.2089005895</v>
      </c>
    </row>
    <row r="6" s="2" customFormat="1" customHeight="1" spans="1:24">
      <c r="A6" s="10">
        <v>2</v>
      </c>
      <c r="B6" s="11" t="s">
        <v>351</v>
      </c>
      <c r="C6" s="11" t="s">
        <v>22</v>
      </c>
      <c r="D6" s="11" t="s">
        <v>26</v>
      </c>
      <c r="E6" s="11" t="s">
        <v>24</v>
      </c>
      <c r="F6" s="11">
        <v>10.8</v>
      </c>
      <c r="G6" s="13">
        <v>72</v>
      </c>
      <c r="H6" s="14">
        <f t="shared" si="0"/>
        <v>0.830769230769231</v>
      </c>
      <c r="I6" s="17">
        <f t="shared" si="1"/>
        <v>0.72</v>
      </c>
      <c r="J6" s="17">
        <v>1</v>
      </c>
      <c r="K6" s="17">
        <f t="shared" si="2"/>
        <v>0.598153846153846</v>
      </c>
      <c r="L6" s="17">
        <f>SQRT(10.8*10.8+18.9*18.9)*72</f>
        <v>1567.30290626924</v>
      </c>
      <c r="M6" s="11">
        <v>6.4</v>
      </c>
      <c r="N6" s="18">
        <f t="shared" si="3"/>
        <v>2</v>
      </c>
      <c r="O6" s="19">
        <f t="shared" si="4"/>
        <v>4483.16307692308</v>
      </c>
      <c r="P6" s="19">
        <f t="shared" si="5"/>
        <v>1756</v>
      </c>
      <c r="Q6" s="19">
        <f t="shared" si="6"/>
        <v>230</v>
      </c>
      <c r="R6" s="19">
        <f>L6*3.410721</f>
        <v>5345.63293577352</v>
      </c>
      <c r="S6" s="19">
        <f t="shared" si="8"/>
        <v>388.8</v>
      </c>
      <c r="T6" s="19">
        <f t="shared" si="9"/>
        <v>250</v>
      </c>
      <c r="U6" s="19">
        <f t="shared" si="10"/>
        <v>560.411820571347</v>
      </c>
      <c r="V6" s="19">
        <f t="shared" si="11"/>
        <v>1171.26070499412</v>
      </c>
      <c r="W6" s="19">
        <f t="shared" si="12"/>
        <v>63.8337084221793</v>
      </c>
      <c r="X6" s="19">
        <f t="shared" si="13"/>
        <v>14249.1022466842</v>
      </c>
    </row>
    <row r="7" s="2" customFormat="1" customHeight="1" spans="1:24">
      <c r="A7" s="10">
        <v>3</v>
      </c>
      <c r="B7" s="11" t="s">
        <v>352</v>
      </c>
      <c r="C7" s="11" t="s">
        <v>22</v>
      </c>
      <c r="D7" s="11" t="s">
        <v>353</v>
      </c>
      <c r="E7" s="11" t="s">
        <v>24</v>
      </c>
      <c r="F7" s="11">
        <v>8.4</v>
      </c>
      <c r="G7" s="13">
        <v>65</v>
      </c>
      <c r="H7" s="14">
        <f>1+(F7-11)/11</f>
        <v>0.763636363636364</v>
      </c>
      <c r="I7" s="17">
        <f t="shared" si="1"/>
        <v>0.65</v>
      </c>
      <c r="J7" s="20">
        <v>1.1</v>
      </c>
      <c r="K7" s="17">
        <f t="shared" si="2"/>
        <v>0.546</v>
      </c>
      <c r="L7" s="17">
        <f>SQRT(8.4*8.4+14.7*14.7)*65</f>
        <v>1100.49818264275</v>
      </c>
      <c r="M7" s="11">
        <v>5.1</v>
      </c>
      <c r="N7" s="18">
        <f t="shared" si="3"/>
        <v>2</v>
      </c>
      <c r="O7" s="19">
        <f t="shared" si="4"/>
        <v>4092.27</v>
      </c>
      <c r="P7" s="19">
        <f t="shared" si="5"/>
        <v>1931.6</v>
      </c>
      <c r="Q7" s="19">
        <f t="shared" si="6"/>
        <v>230</v>
      </c>
      <c r="R7" s="19">
        <f t="shared" si="7"/>
        <v>3753.49116150329</v>
      </c>
      <c r="S7" s="19">
        <f t="shared" si="8"/>
        <v>273</v>
      </c>
      <c r="T7" s="19">
        <f t="shared" si="9"/>
        <v>250</v>
      </c>
      <c r="U7" s="19">
        <f t="shared" si="10"/>
        <v>473.866252267648</v>
      </c>
      <c r="V7" s="19">
        <f t="shared" si="11"/>
        <v>990.380467239384</v>
      </c>
      <c r="W7" s="19">
        <f t="shared" si="12"/>
        <v>53.9757354645464</v>
      </c>
      <c r="X7" s="19">
        <f t="shared" si="13"/>
        <v>12048.5836164749</v>
      </c>
    </row>
    <row r="8" s="2" customFormat="1" customHeight="1" spans="1:24">
      <c r="A8" s="10">
        <v>4</v>
      </c>
      <c r="B8" s="11" t="s">
        <v>354</v>
      </c>
      <c r="C8" s="11" t="s">
        <v>22</v>
      </c>
      <c r="D8" s="11" t="s">
        <v>355</v>
      </c>
      <c r="E8" s="11" t="s">
        <v>24</v>
      </c>
      <c r="F8" s="11">
        <v>13.6</v>
      </c>
      <c r="G8" s="13">
        <v>57.65</v>
      </c>
      <c r="H8" s="14">
        <f t="shared" si="0"/>
        <v>1.04615384615385</v>
      </c>
      <c r="I8" s="17">
        <f t="shared" si="1"/>
        <v>0.5765</v>
      </c>
      <c r="J8" s="17">
        <v>1</v>
      </c>
      <c r="K8" s="17">
        <f t="shared" si="2"/>
        <v>0.603107692307692</v>
      </c>
      <c r="L8" s="17">
        <f>SQRT(13.6*13.6+23.8*23.8)*57.65</f>
        <v>1580.283141244</v>
      </c>
      <c r="M8" s="11">
        <v>7.2</v>
      </c>
      <c r="N8" s="18">
        <f t="shared" si="3"/>
        <v>1</v>
      </c>
      <c r="O8" s="19">
        <f t="shared" si="4"/>
        <v>5204.81938461539</v>
      </c>
      <c r="P8" s="19">
        <f t="shared" si="5"/>
        <v>2261</v>
      </c>
      <c r="Q8" s="19">
        <f t="shared" si="6"/>
        <v>288</v>
      </c>
      <c r="R8" s="19">
        <f t="shared" si="7"/>
        <v>5389.90331550373</v>
      </c>
      <c r="S8" s="19">
        <f t="shared" si="8"/>
        <v>392.02</v>
      </c>
      <c r="T8" s="19">
        <f t="shared" si="9"/>
        <v>250</v>
      </c>
      <c r="U8" s="19">
        <f t="shared" si="10"/>
        <v>620.35842150536</v>
      </c>
      <c r="V8" s="19">
        <f t="shared" si="11"/>
        <v>1296.5491009462</v>
      </c>
      <c r="W8" s="19">
        <f t="shared" si="12"/>
        <v>70.661926001568</v>
      </c>
      <c r="X8" s="19">
        <f t="shared" si="13"/>
        <v>15773.3121485722</v>
      </c>
    </row>
    <row r="9" s="2" customFormat="1" customHeight="1" spans="1:24">
      <c r="A9" s="10">
        <v>5</v>
      </c>
      <c r="B9" s="11" t="s">
        <v>356</v>
      </c>
      <c r="C9" s="11" t="s">
        <v>22</v>
      </c>
      <c r="D9" s="11" t="s">
        <v>36</v>
      </c>
      <c r="E9" s="11" t="s">
        <v>24</v>
      </c>
      <c r="F9" s="11">
        <v>6.6</v>
      </c>
      <c r="G9" s="13">
        <v>34.5</v>
      </c>
      <c r="H9" s="14">
        <f t="shared" ref="H9:H15" si="14">1+(F9-11)/11</f>
        <v>0.6</v>
      </c>
      <c r="I9" s="17">
        <f t="shared" si="1"/>
        <v>0.345</v>
      </c>
      <c r="J9" s="17">
        <v>1</v>
      </c>
      <c r="K9" s="17">
        <f t="shared" si="2"/>
        <v>0.207</v>
      </c>
      <c r="L9" s="17">
        <f>SQRT(7*7+12.25*12.25)*34.5</f>
        <v>486.758811553525</v>
      </c>
      <c r="M9" s="11">
        <v>4</v>
      </c>
      <c r="N9" s="18">
        <f t="shared" si="3"/>
        <v>3</v>
      </c>
      <c r="O9" s="19">
        <f t="shared" si="4"/>
        <v>1253.799</v>
      </c>
      <c r="P9" s="19">
        <f t="shared" si="5"/>
        <v>1482</v>
      </c>
      <c r="Q9" s="19">
        <f t="shared" si="6"/>
        <v>173</v>
      </c>
      <c r="R9" s="19">
        <f t="shared" si="7"/>
        <v>1660.19801374184</v>
      </c>
      <c r="S9" s="19">
        <f t="shared" si="8"/>
        <v>113.85</v>
      </c>
      <c r="T9" s="19">
        <f t="shared" si="9"/>
        <v>250</v>
      </c>
      <c r="U9" s="19">
        <f t="shared" si="10"/>
        <v>221.978115618383</v>
      </c>
      <c r="V9" s="19">
        <f t="shared" si="11"/>
        <v>463.93426164242</v>
      </c>
      <c r="W9" s="19">
        <f t="shared" si="12"/>
        <v>25.2844172595119</v>
      </c>
      <c r="X9" s="19">
        <f t="shared" si="13"/>
        <v>5644.04380826215</v>
      </c>
    </row>
    <row r="10" s="2" customFormat="1" customHeight="1" spans="1:24">
      <c r="A10" s="10">
        <v>6</v>
      </c>
      <c r="B10" s="11" t="s">
        <v>357</v>
      </c>
      <c r="C10" s="11" t="s">
        <v>72</v>
      </c>
      <c r="D10" s="11" t="s">
        <v>80</v>
      </c>
      <c r="E10" s="11" t="s">
        <v>24</v>
      </c>
      <c r="F10" s="11">
        <v>8</v>
      </c>
      <c r="G10" s="13">
        <v>48.5</v>
      </c>
      <c r="H10" s="14">
        <f>1+(F10-13)/13</f>
        <v>0.615384615384615</v>
      </c>
      <c r="I10" s="17">
        <f t="shared" si="1"/>
        <v>0.485</v>
      </c>
      <c r="J10" s="17">
        <v>1</v>
      </c>
      <c r="K10" s="17">
        <f t="shared" si="2"/>
        <v>0.298461538461538</v>
      </c>
      <c r="L10" s="17">
        <f>SQRT(8*8+14*14)*48.5</f>
        <v>782.039001584959</v>
      </c>
      <c r="M10" s="11">
        <v>6</v>
      </c>
      <c r="N10" s="18">
        <f t="shared" si="3"/>
        <v>2</v>
      </c>
      <c r="O10" s="19">
        <f t="shared" si="4"/>
        <v>2236.96923076923</v>
      </c>
      <c r="P10" s="19">
        <f t="shared" si="5"/>
        <v>1756</v>
      </c>
      <c r="Q10" s="19">
        <f t="shared" si="6"/>
        <v>230</v>
      </c>
      <c r="R10" s="19">
        <f t="shared" si="7"/>
        <v>2667.31606348585</v>
      </c>
      <c r="S10" s="19">
        <f t="shared" si="8"/>
        <v>194</v>
      </c>
      <c r="T10" s="19">
        <f t="shared" si="9"/>
        <v>250</v>
      </c>
      <c r="U10" s="19">
        <f t="shared" si="10"/>
        <v>330.042838241479</v>
      </c>
      <c r="V10" s="19">
        <f t="shared" si="11"/>
        <v>689.789531924691</v>
      </c>
      <c r="W10" s="19">
        <f t="shared" si="12"/>
        <v>37.5935294898956</v>
      </c>
      <c r="X10" s="19">
        <f t="shared" si="13"/>
        <v>8391.71119391115</v>
      </c>
    </row>
    <row r="11" s="2" customFormat="1" customHeight="1" spans="1:24">
      <c r="A11" s="10">
        <v>7</v>
      </c>
      <c r="B11" s="11" t="s">
        <v>358</v>
      </c>
      <c r="C11" s="11" t="s">
        <v>72</v>
      </c>
      <c r="D11" s="11" t="s">
        <v>85</v>
      </c>
      <c r="E11" s="11" t="s">
        <v>24</v>
      </c>
      <c r="F11" s="12">
        <v>14.27</v>
      </c>
      <c r="G11" s="13">
        <v>81</v>
      </c>
      <c r="H11" s="14">
        <f t="shared" ref="H11:H16" si="15">1+(F11-10)/10</f>
        <v>1.427</v>
      </c>
      <c r="I11" s="17">
        <f t="shared" ref="I11:I16" si="16">1+(G11-90)/9/10</f>
        <v>0.9</v>
      </c>
      <c r="J11" s="17">
        <v>1</v>
      </c>
      <c r="K11" s="17">
        <f t="shared" si="2"/>
        <v>1.2843</v>
      </c>
      <c r="L11" s="17">
        <f>SQRT(15.8*15.8+31.6*31.6)*81</f>
        <v>2861.71979760423</v>
      </c>
      <c r="M11" s="11">
        <v>4.5</v>
      </c>
      <c r="N11" s="18">
        <f t="shared" si="3"/>
        <v>3</v>
      </c>
      <c r="O11" s="19">
        <f t="shared" si="4"/>
        <v>7779.0051</v>
      </c>
      <c r="P11" s="19">
        <f t="shared" si="5"/>
        <v>1482</v>
      </c>
      <c r="Q11" s="19">
        <f t="shared" si="6"/>
        <v>173</v>
      </c>
      <c r="R11" s="19">
        <f t="shared" si="7"/>
        <v>9760.5249480847</v>
      </c>
      <c r="S11" s="19">
        <f t="shared" si="8"/>
        <v>577.935</v>
      </c>
      <c r="T11" s="19">
        <f t="shared" si="9"/>
        <v>250</v>
      </c>
      <c r="U11" s="19">
        <f t="shared" si="10"/>
        <v>901.010927163812</v>
      </c>
      <c r="V11" s="19">
        <f t="shared" si="11"/>
        <v>1883.11283777237</v>
      </c>
      <c r="W11" s="19">
        <f t="shared" si="12"/>
        <v>102.629649658594</v>
      </c>
      <c r="X11" s="19">
        <f t="shared" si="13"/>
        <v>22909.2184626795</v>
      </c>
    </row>
    <row r="12" s="3" customFormat="1" customHeight="1" spans="1:24">
      <c r="A12" s="10">
        <v>8</v>
      </c>
      <c r="B12" s="11" t="s">
        <v>359</v>
      </c>
      <c r="C12" s="11" t="s">
        <v>72</v>
      </c>
      <c r="D12" s="11" t="s">
        <v>104</v>
      </c>
      <c r="E12" s="11" t="s">
        <v>24</v>
      </c>
      <c r="F12" s="11">
        <v>9.52</v>
      </c>
      <c r="G12" s="13">
        <v>57</v>
      </c>
      <c r="H12" s="14">
        <f t="shared" si="15"/>
        <v>0.952</v>
      </c>
      <c r="I12" s="17">
        <f t="shared" si="16"/>
        <v>0.633333333333333</v>
      </c>
      <c r="J12" s="17">
        <v>1</v>
      </c>
      <c r="K12" s="17">
        <f t="shared" si="2"/>
        <v>0.602933333333333</v>
      </c>
      <c r="L12" s="17">
        <v>0</v>
      </c>
      <c r="M12" s="11">
        <v>5</v>
      </c>
      <c r="N12" s="18">
        <f t="shared" si="3"/>
        <v>3</v>
      </c>
      <c r="O12" s="19">
        <f t="shared" si="4"/>
        <v>3651.9672</v>
      </c>
      <c r="P12" s="19">
        <f t="shared" si="5"/>
        <v>1482</v>
      </c>
      <c r="Q12" s="19">
        <f t="shared" si="6"/>
        <v>173</v>
      </c>
      <c r="R12" s="19">
        <f t="shared" si="7"/>
        <v>0</v>
      </c>
      <c r="S12" s="19">
        <f t="shared" si="8"/>
        <v>271.32</v>
      </c>
      <c r="T12" s="19">
        <f t="shared" si="9"/>
        <v>250</v>
      </c>
      <c r="U12" s="19">
        <f t="shared" si="10"/>
        <v>262.272924</v>
      </c>
      <c r="V12" s="19">
        <f t="shared" si="11"/>
        <v>548.15041116</v>
      </c>
      <c r="W12" s="19">
        <f t="shared" si="12"/>
        <v>29.87419740822</v>
      </c>
      <c r="X12" s="19">
        <f t="shared" si="13"/>
        <v>6668.58473256822</v>
      </c>
    </row>
    <row r="13" s="2" customFormat="1" customHeight="1" spans="1:24">
      <c r="A13" s="10">
        <v>9</v>
      </c>
      <c r="B13" s="11" t="s">
        <v>360</v>
      </c>
      <c r="C13" s="11" t="s">
        <v>128</v>
      </c>
      <c r="D13" s="11" t="s">
        <v>129</v>
      </c>
      <c r="E13" s="11" t="s">
        <v>24</v>
      </c>
      <c r="F13" s="12">
        <v>10.84</v>
      </c>
      <c r="G13" s="13">
        <v>46</v>
      </c>
      <c r="H13" s="14">
        <f t="shared" si="14"/>
        <v>0.985454545454545</v>
      </c>
      <c r="I13" s="17">
        <f t="shared" ref="I13:I15" si="17">1+(G13-100)/10/10</f>
        <v>0.46</v>
      </c>
      <c r="J13" s="17">
        <v>1</v>
      </c>
      <c r="K13" s="17">
        <f t="shared" si="2"/>
        <v>0.453309090909091</v>
      </c>
      <c r="L13" s="17">
        <v>0</v>
      </c>
      <c r="M13" s="11">
        <v>5</v>
      </c>
      <c r="N13" s="18">
        <f t="shared" si="3"/>
        <v>3</v>
      </c>
      <c r="O13" s="19">
        <f t="shared" si="4"/>
        <v>2745.69316363636</v>
      </c>
      <c r="P13" s="19">
        <f t="shared" si="5"/>
        <v>1482</v>
      </c>
      <c r="Q13" s="19">
        <f t="shared" si="6"/>
        <v>173</v>
      </c>
      <c r="R13" s="19">
        <f t="shared" si="7"/>
        <v>0</v>
      </c>
      <c r="S13" s="19">
        <f t="shared" si="8"/>
        <v>249.32</v>
      </c>
      <c r="T13" s="19">
        <f t="shared" si="9"/>
        <v>250</v>
      </c>
      <c r="U13" s="19">
        <f t="shared" si="10"/>
        <v>220.500592363636</v>
      </c>
      <c r="V13" s="19">
        <f t="shared" si="11"/>
        <v>460.84623804</v>
      </c>
      <c r="W13" s="19">
        <f t="shared" si="12"/>
        <v>25.11611997318</v>
      </c>
      <c r="X13" s="19">
        <f t="shared" si="13"/>
        <v>5606.47611401318</v>
      </c>
    </row>
    <row r="14" s="2" customFormat="1" customHeight="1" spans="1:24">
      <c r="A14" s="10">
        <v>10</v>
      </c>
      <c r="B14" s="11" t="s">
        <v>361</v>
      </c>
      <c r="C14" s="11" t="s">
        <v>128</v>
      </c>
      <c r="D14" s="11" t="s">
        <v>129</v>
      </c>
      <c r="E14" s="11" t="s">
        <v>24</v>
      </c>
      <c r="F14" s="11">
        <v>10.8</v>
      </c>
      <c r="G14" s="13">
        <v>53.4</v>
      </c>
      <c r="H14" s="14">
        <f t="shared" si="14"/>
        <v>0.981818181818182</v>
      </c>
      <c r="I14" s="17">
        <f t="shared" si="17"/>
        <v>0.534</v>
      </c>
      <c r="J14" s="17">
        <v>1</v>
      </c>
      <c r="K14" s="17">
        <f t="shared" si="2"/>
        <v>0.524290909090909</v>
      </c>
      <c r="L14" s="17">
        <v>0</v>
      </c>
      <c r="M14" s="11">
        <v>6</v>
      </c>
      <c r="N14" s="18">
        <f t="shared" si="3"/>
        <v>2</v>
      </c>
      <c r="O14" s="19">
        <f t="shared" si="4"/>
        <v>3929.56036363636</v>
      </c>
      <c r="P14" s="19">
        <f t="shared" si="5"/>
        <v>1756</v>
      </c>
      <c r="Q14" s="19">
        <f t="shared" si="6"/>
        <v>230</v>
      </c>
      <c r="R14" s="19">
        <f t="shared" si="7"/>
        <v>0</v>
      </c>
      <c r="S14" s="19">
        <f t="shared" si="8"/>
        <v>288.36</v>
      </c>
      <c r="T14" s="19">
        <f t="shared" si="9"/>
        <v>250</v>
      </c>
      <c r="U14" s="19">
        <f t="shared" si="10"/>
        <v>290.426416363636</v>
      </c>
      <c r="V14" s="19">
        <f t="shared" si="11"/>
        <v>606.9912102</v>
      </c>
      <c r="W14" s="19">
        <f t="shared" si="12"/>
        <v>33.0810209559</v>
      </c>
      <c r="X14" s="19">
        <f t="shared" si="13"/>
        <v>7384.4190111559</v>
      </c>
    </row>
    <row r="15" s="2" customFormat="1" customHeight="1" spans="1:24">
      <c r="A15" s="10">
        <v>11</v>
      </c>
      <c r="B15" s="11" t="s">
        <v>362</v>
      </c>
      <c r="C15" s="11" t="s">
        <v>128</v>
      </c>
      <c r="D15" s="11" t="s">
        <v>139</v>
      </c>
      <c r="E15" s="11" t="s">
        <v>24</v>
      </c>
      <c r="F15" s="11">
        <v>8.7</v>
      </c>
      <c r="G15" s="13">
        <v>62.5</v>
      </c>
      <c r="H15" s="14">
        <f t="shared" si="14"/>
        <v>0.790909090909091</v>
      </c>
      <c r="I15" s="17">
        <f t="shared" si="17"/>
        <v>0.625</v>
      </c>
      <c r="J15" s="17">
        <v>1</v>
      </c>
      <c r="K15" s="17">
        <f t="shared" si="2"/>
        <v>0.494318181818182</v>
      </c>
      <c r="L15" s="17">
        <v>0</v>
      </c>
      <c r="M15" s="11">
        <v>4.3</v>
      </c>
      <c r="N15" s="18">
        <f t="shared" si="3"/>
        <v>3</v>
      </c>
      <c r="O15" s="19">
        <f t="shared" si="4"/>
        <v>2994.08522727273</v>
      </c>
      <c r="P15" s="19">
        <f t="shared" si="5"/>
        <v>1482</v>
      </c>
      <c r="Q15" s="19">
        <f t="shared" si="6"/>
        <v>173</v>
      </c>
      <c r="R15" s="19">
        <f t="shared" si="7"/>
        <v>0</v>
      </c>
      <c r="S15" s="19">
        <f t="shared" si="8"/>
        <v>271.875</v>
      </c>
      <c r="T15" s="19">
        <f t="shared" si="9"/>
        <v>250</v>
      </c>
      <c r="U15" s="19">
        <f t="shared" si="10"/>
        <v>232.693210227273</v>
      </c>
      <c r="V15" s="19">
        <f t="shared" si="11"/>
        <v>486.328809375</v>
      </c>
      <c r="W15" s="19">
        <f t="shared" si="12"/>
        <v>26.5049201109375</v>
      </c>
      <c r="X15" s="19">
        <f t="shared" si="13"/>
        <v>5916.48716698594</v>
      </c>
    </row>
    <row r="16" s="2" customFormat="1" customHeight="1" spans="1:24">
      <c r="A16" s="10">
        <v>12</v>
      </c>
      <c r="B16" s="11" t="s">
        <v>363</v>
      </c>
      <c r="C16" s="11" t="s">
        <v>128</v>
      </c>
      <c r="D16" s="11" t="s">
        <v>136</v>
      </c>
      <c r="E16" s="11" t="s">
        <v>24</v>
      </c>
      <c r="F16" s="11">
        <v>12.4</v>
      </c>
      <c r="G16" s="13">
        <v>44.7</v>
      </c>
      <c r="H16" s="14">
        <f t="shared" si="15"/>
        <v>1.24</v>
      </c>
      <c r="I16" s="17">
        <f t="shared" si="16"/>
        <v>0.496666666666667</v>
      </c>
      <c r="J16" s="17">
        <v>1</v>
      </c>
      <c r="K16" s="17">
        <f t="shared" si="2"/>
        <v>0.615866666666667</v>
      </c>
      <c r="L16" s="17">
        <f>SQRT(12.4*12.4+24.8*24.8)*44.7</f>
        <v>1239.40775856858</v>
      </c>
      <c r="M16" s="11">
        <v>3.92</v>
      </c>
      <c r="N16" s="18">
        <f t="shared" si="3"/>
        <v>3</v>
      </c>
      <c r="O16" s="19">
        <f t="shared" si="4"/>
        <v>3730.3044</v>
      </c>
      <c r="P16" s="19">
        <f t="shared" si="5"/>
        <v>1482</v>
      </c>
      <c r="Q16" s="19">
        <f t="shared" si="6"/>
        <v>173</v>
      </c>
      <c r="R16" s="19">
        <f t="shared" si="7"/>
        <v>4227.27283030504</v>
      </c>
      <c r="S16" s="19">
        <f t="shared" si="8"/>
        <v>277.14</v>
      </c>
      <c r="T16" s="19">
        <f t="shared" si="9"/>
        <v>250</v>
      </c>
      <c r="U16" s="19">
        <f t="shared" si="10"/>
        <v>456.287275363727</v>
      </c>
      <c r="V16" s="19">
        <f t="shared" si="11"/>
        <v>953.640405510189</v>
      </c>
      <c r="W16" s="19">
        <f t="shared" si="12"/>
        <v>51.9734021003053</v>
      </c>
      <c r="X16" s="19">
        <f t="shared" si="13"/>
        <v>11601.6183132793</v>
      </c>
    </row>
    <row r="17" s="2" customFormat="1" customHeight="1" spans="1:24">
      <c r="A17" s="10">
        <v>13</v>
      </c>
      <c r="B17" s="11" t="s">
        <v>364</v>
      </c>
      <c r="C17" s="11" t="s">
        <v>128</v>
      </c>
      <c r="D17" s="11" t="s">
        <v>139</v>
      </c>
      <c r="E17" s="11" t="s">
        <v>24</v>
      </c>
      <c r="F17" s="11">
        <v>8.1</v>
      </c>
      <c r="G17" s="13">
        <v>72</v>
      </c>
      <c r="H17" s="14">
        <f>1+(F17-9)/9</f>
        <v>0.9</v>
      </c>
      <c r="I17" s="17">
        <f>1+(G17-80)/8/10</f>
        <v>0.9</v>
      </c>
      <c r="J17" s="17">
        <v>1</v>
      </c>
      <c r="K17" s="17">
        <f t="shared" si="2"/>
        <v>0.81</v>
      </c>
      <c r="L17" s="17">
        <f>SQRT(7.8*7.8+13.65*13.65)*72</f>
        <v>1131.94098786112</v>
      </c>
      <c r="M17" s="11">
        <v>1</v>
      </c>
      <c r="N17" s="18">
        <f t="shared" si="3"/>
        <v>5</v>
      </c>
      <c r="O17" s="19">
        <f t="shared" si="4"/>
        <v>2985.66</v>
      </c>
      <c r="P17" s="19">
        <f t="shared" si="5"/>
        <v>624</v>
      </c>
      <c r="Q17" s="19">
        <f t="shared" si="6"/>
        <v>58</v>
      </c>
      <c r="R17" s="19">
        <f t="shared" si="7"/>
        <v>3860.73376611767</v>
      </c>
      <c r="S17" s="19">
        <f t="shared" si="8"/>
        <v>291.6</v>
      </c>
      <c r="T17" s="19">
        <f t="shared" si="9"/>
        <v>250</v>
      </c>
      <c r="U17" s="19">
        <f t="shared" si="10"/>
        <v>363.149719475295</v>
      </c>
      <c r="V17" s="19">
        <f t="shared" si="11"/>
        <v>758.982913703367</v>
      </c>
      <c r="W17" s="19">
        <f t="shared" si="12"/>
        <v>41.3645687968335</v>
      </c>
      <c r="X17" s="19">
        <f t="shared" si="13"/>
        <v>9233.49096809316</v>
      </c>
    </row>
    <row r="18" s="2" customFormat="1" customHeight="1" spans="1:24">
      <c r="A18" s="10">
        <v>14</v>
      </c>
      <c r="B18" s="11" t="s">
        <v>365</v>
      </c>
      <c r="C18" s="11" t="s">
        <v>258</v>
      </c>
      <c r="D18" s="11" t="s">
        <v>259</v>
      </c>
      <c r="E18" s="11" t="s">
        <v>24</v>
      </c>
      <c r="F18" s="11">
        <v>11.8</v>
      </c>
      <c r="G18" s="13">
        <v>40</v>
      </c>
      <c r="H18" s="14">
        <f>1+(F18-13)/13</f>
        <v>0.907692307692308</v>
      </c>
      <c r="I18" s="17">
        <f t="shared" ref="I18:I20" si="18">1+(G18-100)/10/10</f>
        <v>0.4</v>
      </c>
      <c r="J18" s="17">
        <v>1</v>
      </c>
      <c r="K18" s="17">
        <f t="shared" si="2"/>
        <v>0.363076923076923</v>
      </c>
      <c r="L18" s="17">
        <f>SQRT(11.8*11.8+23.6*23.6)*40/2</f>
        <v>527.71204268995</v>
      </c>
      <c r="M18" s="11">
        <v>6.4</v>
      </c>
      <c r="N18" s="18">
        <f t="shared" si="3"/>
        <v>2</v>
      </c>
      <c r="O18" s="19">
        <f t="shared" si="4"/>
        <v>2721.26153846154</v>
      </c>
      <c r="P18" s="19">
        <f t="shared" si="5"/>
        <v>1756</v>
      </c>
      <c r="Q18" s="19">
        <f t="shared" si="6"/>
        <v>230</v>
      </c>
      <c r="R18" s="19">
        <f t="shared" si="7"/>
        <v>1799.87801824347</v>
      </c>
      <c r="S18" s="19">
        <f t="shared" si="8"/>
        <v>236</v>
      </c>
      <c r="T18" s="19">
        <f t="shared" si="9"/>
        <v>250</v>
      </c>
      <c r="U18" s="19">
        <f t="shared" si="10"/>
        <v>314.691280051725</v>
      </c>
      <c r="V18" s="19">
        <f t="shared" si="11"/>
        <v>657.704775308106</v>
      </c>
      <c r="W18" s="19">
        <f t="shared" si="12"/>
        <v>35.8449102542918</v>
      </c>
      <c r="X18" s="19">
        <f t="shared" si="13"/>
        <v>8001.38052231913</v>
      </c>
    </row>
    <row r="19" s="2" customFormat="1" customHeight="1" spans="1:24">
      <c r="A19" s="10">
        <v>15</v>
      </c>
      <c r="B19" s="11" t="s">
        <v>366</v>
      </c>
      <c r="C19" s="11" t="s">
        <v>258</v>
      </c>
      <c r="D19" s="11" t="s">
        <v>367</v>
      </c>
      <c r="E19" s="11" t="s">
        <v>24</v>
      </c>
      <c r="F19" s="11">
        <v>11</v>
      </c>
      <c r="G19" s="13">
        <v>32</v>
      </c>
      <c r="H19" s="14">
        <f>1+(F19-11)/11</f>
        <v>1</v>
      </c>
      <c r="I19" s="17">
        <f t="shared" si="18"/>
        <v>0.32</v>
      </c>
      <c r="J19" s="17">
        <v>1</v>
      </c>
      <c r="K19" s="17">
        <f t="shared" si="2"/>
        <v>0.32</v>
      </c>
      <c r="L19" s="17">
        <f>SQRT(11*11+22*22)*32/2</f>
        <v>393.547964039963</v>
      </c>
      <c r="M19" s="11">
        <v>4</v>
      </c>
      <c r="N19" s="18">
        <f t="shared" si="3"/>
        <v>3</v>
      </c>
      <c r="O19" s="19">
        <f t="shared" si="4"/>
        <v>1938.24</v>
      </c>
      <c r="P19" s="19">
        <f t="shared" si="5"/>
        <v>1482</v>
      </c>
      <c r="Q19" s="19">
        <f t="shared" si="6"/>
        <v>173</v>
      </c>
      <c r="R19" s="19">
        <f t="shared" si="7"/>
        <v>1342.28191191038</v>
      </c>
      <c r="S19" s="19">
        <f t="shared" si="8"/>
        <v>176</v>
      </c>
      <c r="T19" s="19">
        <f t="shared" si="9"/>
        <v>250</v>
      </c>
      <c r="U19" s="19">
        <f t="shared" si="10"/>
        <v>241.268486035967</v>
      </c>
      <c r="V19" s="19">
        <f t="shared" si="11"/>
        <v>504.251135815171</v>
      </c>
      <c r="W19" s="19">
        <f t="shared" si="12"/>
        <v>27.4816869019268</v>
      </c>
      <c r="X19" s="19">
        <f t="shared" si="13"/>
        <v>6134.52322066345</v>
      </c>
    </row>
    <row r="20" s="2" customFormat="1" customHeight="1" spans="1:24">
      <c r="A20" s="10">
        <v>16</v>
      </c>
      <c r="B20" s="11" t="s">
        <v>368</v>
      </c>
      <c r="C20" s="11" t="s">
        <v>258</v>
      </c>
      <c r="D20" s="11" t="s">
        <v>369</v>
      </c>
      <c r="E20" s="11" t="s">
        <v>24</v>
      </c>
      <c r="F20" s="11">
        <v>9.1</v>
      </c>
      <c r="G20" s="13">
        <v>67.9</v>
      </c>
      <c r="H20" s="14">
        <f>1+(F20-13)/13</f>
        <v>0.7</v>
      </c>
      <c r="I20" s="17">
        <f t="shared" si="18"/>
        <v>0.679</v>
      </c>
      <c r="J20" s="17">
        <v>1</v>
      </c>
      <c r="K20" s="17">
        <f t="shared" si="2"/>
        <v>0.4753</v>
      </c>
      <c r="L20" s="17">
        <f>SQRT(9.1*9.1+15.93*15.93)*67.9/2</f>
        <v>622.845944979375</v>
      </c>
      <c r="M20" s="11">
        <v>6.8</v>
      </c>
      <c r="N20" s="18">
        <f t="shared" si="3"/>
        <v>2</v>
      </c>
      <c r="O20" s="19">
        <f t="shared" si="4"/>
        <v>3562.3735</v>
      </c>
      <c r="P20" s="19">
        <f t="shared" si="5"/>
        <v>1756</v>
      </c>
      <c r="Q20" s="19">
        <f t="shared" si="6"/>
        <v>230</v>
      </c>
      <c r="R20" s="19">
        <f t="shared" si="7"/>
        <v>2124.35312146005</v>
      </c>
      <c r="S20" s="19">
        <f t="shared" si="8"/>
        <v>308.945</v>
      </c>
      <c r="T20" s="19">
        <f t="shared" si="9"/>
        <v>250</v>
      </c>
      <c r="U20" s="19">
        <f t="shared" si="10"/>
        <v>370.425222965702</v>
      </c>
      <c r="V20" s="19">
        <f t="shared" si="11"/>
        <v>774.188715998318</v>
      </c>
      <c r="W20" s="19">
        <f t="shared" si="12"/>
        <v>42.1932850219083</v>
      </c>
      <c r="X20" s="19">
        <f t="shared" si="13"/>
        <v>9418.47884544598</v>
      </c>
    </row>
    <row r="21" s="2" customFormat="1" customHeight="1" spans="1:24">
      <c r="A21" s="10">
        <v>17</v>
      </c>
      <c r="B21" s="11" t="s">
        <v>370</v>
      </c>
      <c r="C21" s="11" t="s">
        <v>177</v>
      </c>
      <c r="D21" s="11" t="s">
        <v>180</v>
      </c>
      <c r="E21" s="11" t="s">
        <v>24</v>
      </c>
      <c r="F21" s="11">
        <v>13.4</v>
      </c>
      <c r="G21" s="13">
        <v>41</v>
      </c>
      <c r="H21" s="14">
        <f>1+(F21-8)/8</f>
        <v>1.675</v>
      </c>
      <c r="I21" s="17">
        <f>1+(G21-70)/7/10</f>
        <v>0.585714285714286</v>
      </c>
      <c r="J21" s="17">
        <v>1</v>
      </c>
      <c r="K21" s="17">
        <f t="shared" si="2"/>
        <v>0.981071428571428</v>
      </c>
      <c r="L21" s="17">
        <f>SQRT(13.4*13.4+23.45*23.45)*41/2</f>
        <v>553.675550864403</v>
      </c>
      <c r="M21" s="11">
        <v>6.54</v>
      </c>
      <c r="N21" s="18">
        <f t="shared" si="3"/>
        <v>2</v>
      </c>
      <c r="O21" s="19">
        <f t="shared" si="4"/>
        <v>7353.13035714286</v>
      </c>
      <c r="P21" s="19">
        <f t="shared" si="5"/>
        <v>1756</v>
      </c>
      <c r="Q21" s="19">
        <f t="shared" si="6"/>
        <v>230</v>
      </c>
      <c r="R21" s="19">
        <f t="shared" si="7"/>
        <v>1888.43227484424</v>
      </c>
      <c r="S21" s="19">
        <f t="shared" si="8"/>
        <v>274.7</v>
      </c>
      <c r="T21" s="19">
        <f t="shared" si="9"/>
        <v>250</v>
      </c>
      <c r="U21" s="19">
        <f t="shared" si="10"/>
        <v>528.851818439419</v>
      </c>
      <c r="V21" s="19">
        <f t="shared" si="11"/>
        <v>1105.30030053839</v>
      </c>
      <c r="W21" s="19">
        <f t="shared" si="12"/>
        <v>60.238866379342</v>
      </c>
      <c r="X21" s="19">
        <f t="shared" si="13"/>
        <v>13446.6536173442</v>
      </c>
    </row>
    <row r="22" s="2" customFormat="1" customHeight="1" spans="1:24">
      <c r="A22" s="10">
        <v>18</v>
      </c>
      <c r="B22" s="11" t="s">
        <v>371</v>
      </c>
      <c r="C22" s="11" t="s">
        <v>372</v>
      </c>
      <c r="D22" s="11" t="s">
        <v>320</v>
      </c>
      <c r="E22" s="11" t="s">
        <v>24</v>
      </c>
      <c r="F22" s="11">
        <v>7.37</v>
      </c>
      <c r="G22" s="13">
        <v>54.5</v>
      </c>
      <c r="H22" s="14">
        <f>1+(F22-10)/10</f>
        <v>0.737</v>
      </c>
      <c r="I22" s="17">
        <f>1+(G22-90)/9/10</f>
        <v>0.605555555555556</v>
      </c>
      <c r="J22" s="20">
        <v>1.1</v>
      </c>
      <c r="K22" s="17">
        <f t="shared" si="2"/>
        <v>0.490923888888889</v>
      </c>
      <c r="L22" s="17">
        <f>SQRT(10.3*10.3+18.03*18.03)*54.5</f>
        <v>1131.67370108393</v>
      </c>
      <c r="M22" s="11">
        <v>4</v>
      </c>
      <c r="N22" s="18">
        <f t="shared" si="3"/>
        <v>3</v>
      </c>
      <c r="O22" s="19">
        <f t="shared" si="4"/>
        <v>2973.525995</v>
      </c>
      <c r="P22" s="19">
        <f t="shared" si="5"/>
        <v>1630.2</v>
      </c>
      <c r="Q22" s="19">
        <f t="shared" si="6"/>
        <v>173</v>
      </c>
      <c r="R22" s="19">
        <f t="shared" si="7"/>
        <v>3859.82212576098</v>
      </c>
      <c r="S22" s="19">
        <f t="shared" si="8"/>
        <v>200.8325</v>
      </c>
      <c r="T22" s="19">
        <f t="shared" si="9"/>
        <v>250</v>
      </c>
      <c r="U22" s="19">
        <f t="shared" si="10"/>
        <v>408.932127934244</v>
      </c>
      <c r="V22" s="19">
        <f t="shared" si="11"/>
        <v>854.66814738257</v>
      </c>
      <c r="W22" s="19">
        <f t="shared" si="12"/>
        <v>46.5794140323501</v>
      </c>
      <c r="X22" s="19">
        <f t="shared" si="13"/>
        <v>10397.5603101101</v>
      </c>
    </row>
    <row r="23" s="2" customFormat="1" customHeight="1" spans="1:24">
      <c r="A23" s="10">
        <v>19</v>
      </c>
      <c r="B23" s="11" t="s">
        <v>373</v>
      </c>
      <c r="C23" s="11" t="s">
        <v>221</v>
      </c>
      <c r="D23" s="11" t="s">
        <v>233</v>
      </c>
      <c r="E23" s="11" t="s">
        <v>24</v>
      </c>
      <c r="F23" s="11">
        <v>8.9</v>
      </c>
      <c r="G23" s="13">
        <v>51</v>
      </c>
      <c r="H23" s="14">
        <f>1+(F23-9)/9</f>
        <v>0.988888888888889</v>
      </c>
      <c r="I23" s="17">
        <f>1+(G23-80)/8/10</f>
        <v>0.6375</v>
      </c>
      <c r="J23" s="17">
        <v>1</v>
      </c>
      <c r="K23" s="17">
        <f t="shared" si="2"/>
        <v>0.630416666666667</v>
      </c>
      <c r="L23" s="17">
        <f>SQRT(8.9*8.9+17.8*17.8)*51</f>
        <v>1014.95125498715</v>
      </c>
      <c r="M23" s="11">
        <v>2.13</v>
      </c>
      <c r="N23" s="18">
        <f t="shared" si="3"/>
        <v>4</v>
      </c>
      <c r="O23" s="19">
        <f t="shared" si="4"/>
        <v>2943.41541666667</v>
      </c>
      <c r="P23" s="19">
        <f t="shared" si="5"/>
        <v>944</v>
      </c>
      <c r="Q23" s="19">
        <f t="shared" si="6"/>
        <v>115</v>
      </c>
      <c r="R23" s="19">
        <f t="shared" si="7"/>
        <v>3461.71454440979</v>
      </c>
      <c r="S23" s="19">
        <f t="shared" si="8"/>
        <v>226.95</v>
      </c>
      <c r="T23" s="19">
        <f t="shared" si="9"/>
        <v>250</v>
      </c>
      <c r="U23" s="19">
        <f t="shared" si="10"/>
        <v>357.34859824844</v>
      </c>
      <c r="V23" s="19">
        <f t="shared" si="11"/>
        <v>746.85857033924</v>
      </c>
      <c r="W23" s="19">
        <f t="shared" si="12"/>
        <v>40.7037920834886</v>
      </c>
      <c r="X23" s="19">
        <f t="shared" si="13"/>
        <v>9085.99092174762</v>
      </c>
    </row>
    <row r="24" s="4" customFormat="1" customHeight="1" spans="1:24">
      <c r="A24" s="9" t="s">
        <v>14</v>
      </c>
      <c r="B24" s="9"/>
      <c r="C24" s="9"/>
      <c r="D24" s="9"/>
      <c r="E24" s="15"/>
      <c r="F24" s="15"/>
      <c r="G24" s="9"/>
      <c r="H24" s="9"/>
      <c r="I24" s="9"/>
      <c r="J24" s="9"/>
      <c r="K24" s="9"/>
      <c r="L24" s="9"/>
      <c r="M24" s="9"/>
      <c r="N24" s="9"/>
      <c r="O24" s="9"/>
      <c r="P24" s="21"/>
      <c r="Q24" s="9"/>
      <c r="R24" s="9"/>
      <c r="S24" s="9"/>
      <c r="T24" s="9"/>
      <c r="U24" s="9"/>
      <c r="V24" s="24"/>
      <c r="W24" s="24"/>
      <c r="X24" s="21">
        <f>SUM(X5:X23)</f>
        <v>202686.8441209</v>
      </c>
    </row>
    <row r="25" s="5" customFormat="1" customHeight="1" spans="1:6">
      <c r="A25" s="1"/>
      <c r="B25" s="1"/>
      <c r="C25" s="1"/>
      <c r="D25" s="1"/>
      <c r="E25" s="16"/>
      <c r="F25" s="16"/>
    </row>
    <row r="26" s="5" customFormat="1" customHeight="1" spans="1:6">
      <c r="A26" s="1"/>
      <c r="B26" s="1"/>
      <c r="C26" s="1"/>
      <c r="D26" s="1"/>
      <c r="E26" s="16"/>
      <c r="F26" s="16"/>
    </row>
    <row r="27" s="5" customFormat="1" customHeight="1" spans="1:6">
      <c r="A27" s="1"/>
      <c r="B27" s="1"/>
      <c r="C27" s="1"/>
      <c r="D27" s="1"/>
      <c r="E27" s="16"/>
      <c r="F27" s="16"/>
    </row>
    <row r="28" s="5" customFormat="1" customHeight="1" spans="1:6">
      <c r="A28" s="1"/>
      <c r="B28" s="1"/>
      <c r="C28" s="1"/>
      <c r="D28" s="1"/>
      <c r="E28" s="16"/>
      <c r="F28" s="16"/>
    </row>
    <row r="29" s="5" customFormat="1" customHeight="1" spans="1:6">
      <c r="A29" s="1"/>
      <c r="B29" s="1"/>
      <c r="C29" s="1"/>
      <c r="D29" s="1"/>
      <c r="E29" s="16"/>
      <c r="F29" s="16"/>
    </row>
    <row r="30" s="5" customFormat="1" customHeight="1" spans="1:6">
      <c r="A30" s="1"/>
      <c r="B30" s="1"/>
      <c r="C30" s="1"/>
      <c r="D30" s="1"/>
      <c r="E30" s="6"/>
      <c r="F30" s="16"/>
    </row>
    <row r="31" s="5" customFormat="1" customHeight="1" spans="1:6">
      <c r="A31" s="1"/>
      <c r="B31" s="1"/>
      <c r="C31" s="1"/>
      <c r="D31" s="1"/>
      <c r="E31" s="6"/>
      <c r="F31" s="16"/>
    </row>
    <row r="32" s="5" customFormat="1" customHeight="1" spans="1:6">
      <c r="A32" s="1"/>
      <c r="B32" s="1"/>
      <c r="C32" s="1"/>
      <c r="D32" s="1"/>
      <c r="E32" s="6"/>
      <c r="F32" s="16"/>
    </row>
    <row r="33" s="5" customFormat="1" customHeight="1" spans="1:6">
      <c r="A33" s="1"/>
      <c r="B33" s="1"/>
      <c r="C33" s="1"/>
      <c r="D33" s="1"/>
      <c r="E33" s="6"/>
      <c r="F33" s="16"/>
    </row>
    <row r="34" s="5" customFormat="1" customHeight="1" spans="1:16">
      <c r="A34" s="1"/>
      <c r="B34" s="1"/>
      <c r="C34" s="1"/>
      <c r="D34" s="1"/>
      <c r="E34" s="6"/>
      <c r="F34" s="16"/>
      <c r="K34" s="1"/>
      <c r="L34" s="1"/>
      <c r="M34" s="1"/>
      <c r="N34" s="1"/>
      <c r="O34" s="1"/>
      <c r="P34" s="1"/>
    </row>
    <row r="35" s="5" customFormat="1" customHeight="1" spans="1:23">
      <c r="A35" s="1"/>
      <c r="B35" s="1"/>
      <c r="C35" s="1"/>
      <c r="D35" s="1"/>
      <c r="E35" s="6"/>
      <c r="F35" s="1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="5" customFormat="1" customHeight="1" spans="1:23">
      <c r="A36" s="1"/>
      <c r="B36" s="1"/>
      <c r="C36" s="1"/>
      <c r="D36" s="1"/>
      <c r="E36" s="6"/>
      <c r="F36" s="1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="5" customFormat="1" customHeight="1" spans="1:23">
      <c r="A37" s="1"/>
      <c r="B37" s="1"/>
      <c r="C37" s="1"/>
      <c r="D37" s="1"/>
      <c r="E37" s="6"/>
      <c r="F37" s="1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="5" customFormat="1" customHeight="1" spans="1:23">
      <c r="A38" s="1"/>
      <c r="B38" s="1"/>
      <c r="C38" s="1"/>
      <c r="D38" s="1"/>
      <c r="E38" s="6"/>
      <c r="F38" s="1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="1" customFormat="1" customHeight="1" spans="5:6">
      <c r="E39" s="6"/>
      <c r="F39" s="16"/>
    </row>
    <row r="40" s="1" customFormat="1" customHeight="1" spans="5:6">
      <c r="E40" s="6"/>
      <c r="F40" s="16"/>
    </row>
    <row r="41" s="1" customFormat="1" customHeight="1" spans="5:6">
      <c r="E41" s="6"/>
      <c r="F41" s="16"/>
    </row>
    <row r="42" s="1" customFormat="1" customHeight="1" spans="5:6">
      <c r="E42" s="6"/>
      <c r="F42" s="16"/>
    </row>
    <row r="43" s="1" customFormat="1" customHeight="1" spans="5:6">
      <c r="E43" s="6"/>
      <c r="F43" s="16"/>
    </row>
    <row r="44" s="1" customFormat="1" customHeight="1" spans="5:6">
      <c r="E44" s="6"/>
      <c r="F44" s="16"/>
    </row>
    <row r="45" s="1" customFormat="1" customHeight="1" spans="5:6">
      <c r="E45" s="6"/>
      <c r="F45" s="16"/>
    </row>
    <row r="46" s="1" customFormat="1" customHeight="1" spans="5:6">
      <c r="E46" s="6"/>
      <c r="F46" s="16"/>
    </row>
    <row r="47" s="1" customFormat="1" customHeight="1" spans="5:6">
      <c r="E47" s="6"/>
      <c r="F47" s="16"/>
    </row>
    <row r="48" s="1" customFormat="1" customHeight="1" spans="5:6">
      <c r="E48" s="6"/>
      <c r="F48" s="16"/>
    </row>
    <row r="49" s="1" customFormat="1" customHeight="1" spans="5:6">
      <c r="E49" s="6"/>
      <c r="F49" s="16"/>
    </row>
  </sheetData>
  <mergeCells count="25">
    <mergeCell ref="A1:X1"/>
    <mergeCell ref="O2:W2"/>
    <mergeCell ref="A24:B2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R3:R4"/>
    <mergeCell ref="S3:S4"/>
    <mergeCell ref="T3:T4"/>
    <mergeCell ref="U3:U4"/>
    <mergeCell ref="V3:V4"/>
    <mergeCell ref="W3:W4"/>
    <mergeCell ref="X3:X4"/>
    <mergeCell ref="Y3:Y4"/>
  </mergeCells>
  <conditionalFormatting sqref="B5">
    <cfRule type="cellIs" dxfId="0" priority="5" stopIfTrue="1" operator="equal">
      <formula>""</formula>
    </cfRule>
  </conditionalFormatting>
  <conditionalFormatting sqref="C5:D5">
    <cfRule type="cellIs" dxfId="0" priority="6" stopIfTrue="1" operator="equal">
      <formula>""</formula>
    </cfRule>
  </conditionalFormatting>
  <conditionalFormatting sqref="B6">
    <cfRule type="cellIs" dxfId="0" priority="7" stopIfTrue="1" operator="equal">
      <formula>""</formula>
    </cfRule>
  </conditionalFormatting>
  <conditionalFormatting sqref="C6:D6">
    <cfRule type="cellIs" dxfId="0" priority="8" stopIfTrue="1" operator="equal">
      <formula>""</formula>
    </cfRule>
  </conditionalFormatting>
  <conditionalFormatting sqref="B7">
    <cfRule type="cellIs" dxfId="0" priority="9" stopIfTrue="1" operator="equal">
      <formula>""</formula>
    </cfRule>
  </conditionalFormatting>
  <conditionalFormatting sqref="C7:D7">
    <cfRule type="cellIs" dxfId="0" priority="10" stopIfTrue="1" operator="equal">
      <formula>""</formula>
    </cfRule>
  </conditionalFormatting>
  <conditionalFormatting sqref="B8">
    <cfRule type="cellIs" dxfId="0" priority="11" stopIfTrue="1" operator="equal">
      <formula>""</formula>
    </cfRule>
  </conditionalFormatting>
  <conditionalFormatting sqref="C8:D8">
    <cfRule type="cellIs" dxfId="0" priority="12" stopIfTrue="1" operator="equal">
      <formula>""</formula>
    </cfRule>
  </conditionalFormatting>
  <conditionalFormatting sqref="B9">
    <cfRule type="cellIs" dxfId="0" priority="13" stopIfTrue="1" operator="equal">
      <formula>""</formula>
    </cfRule>
  </conditionalFormatting>
  <conditionalFormatting sqref="C9:D9">
    <cfRule type="cellIs" dxfId="0" priority="14" stopIfTrue="1" operator="equal">
      <formula>""</formula>
    </cfRule>
  </conditionalFormatting>
  <conditionalFormatting sqref="B10">
    <cfRule type="cellIs" dxfId="0" priority="15" stopIfTrue="1" operator="equal">
      <formula>""</formula>
    </cfRule>
  </conditionalFormatting>
  <conditionalFormatting sqref="C10:D10">
    <cfRule type="cellIs" dxfId="0" priority="16" stopIfTrue="1" operator="equal">
      <formula>""</formula>
    </cfRule>
  </conditionalFormatting>
  <conditionalFormatting sqref="B11">
    <cfRule type="cellIs" dxfId="0" priority="17" stopIfTrue="1" operator="equal">
      <formula>""</formula>
    </cfRule>
  </conditionalFormatting>
  <conditionalFormatting sqref="C11:D11">
    <cfRule type="cellIs" dxfId="0" priority="18" stopIfTrue="1" operator="equal">
      <formula>""</formula>
    </cfRule>
  </conditionalFormatting>
  <conditionalFormatting sqref="B12">
    <cfRule type="cellIs" dxfId="0" priority="19" stopIfTrue="1" operator="equal">
      <formula>""</formula>
    </cfRule>
  </conditionalFormatting>
  <conditionalFormatting sqref="C12:D12">
    <cfRule type="cellIs" dxfId="0" priority="20" stopIfTrue="1" operator="equal">
      <formula>""</formula>
    </cfRule>
  </conditionalFormatting>
  <conditionalFormatting sqref="A13">
    <cfRule type="expression" dxfId="1" priority="1" stopIfTrue="1">
      <formula>#REF!="完成"</formula>
    </cfRule>
  </conditionalFormatting>
  <conditionalFormatting sqref="B13">
    <cfRule type="cellIs" dxfId="0" priority="2" stopIfTrue="1" operator="equal">
      <formula>""</formula>
    </cfRule>
  </conditionalFormatting>
  <conditionalFormatting sqref="C13:D13">
    <cfRule type="cellIs" dxfId="0" priority="3" stopIfTrue="1" operator="equal">
      <formula>""</formula>
    </cfRule>
  </conditionalFormatting>
  <conditionalFormatting sqref="B14">
    <cfRule type="cellIs" dxfId="0" priority="21" stopIfTrue="1" operator="equal">
      <formula>""</formula>
    </cfRule>
  </conditionalFormatting>
  <conditionalFormatting sqref="C14:D14">
    <cfRule type="cellIs" dxfId="0" priority="22" stopIfTrue="1" operator="equal">
      <formula>""</formula>
    </cfRule>
  </conditionalFormatting>
  <conditionalFormatting sqref="B15">
    <cfRule type="cellIs" dxfId="0" priority="23" stopIfTrue="1" operator="equal">
      <formula>""</formula>
    </cfRule>
  </conditionalFormatting>
  <conditionalFormatting sqref="C15:D15">
    <cfRule type="cellIs" dxfId="0" priority="24" stopIfTrue="1" operator="equal">
      <formula>""</formula>
    </cfRule>
  </conditionalFormatting>
  <conditionalFormatting sqref="B16">
    <cfRule type="cellIs" dxfId="0" priority="25" stopIfTrue="1" operator="equal">
      <formula>""</formula>
    </cfRule>
  </conditionalFormatting>
  <conditionalFormatting sqref="C16:D16">
    <cfRule type="cellIs" dxfId="0" priority="26" stopIfTrue="1" operator="equal">
      <formula>""</formula>
    </cfRule>
  </conditionalFormatting>
  <conditionalFormatting sqref="B17">
    <cfRule type="cellIs" dxfId="0" priority="27" stopIfTrue="1" operator="equal">
      <formula>""</formula>
    </cfRule>
  </conditionalFormatting>
  <conditionalFormatting sqref="C17:D17">
    <cfRule type="cellIs" dxfId="0" priority="28" stopIfTrue="1" operator="equal">
      <formula>""</formula>
    </cfRule>
  </conditionalFormatting>
  <conditionalFormatting sqref="B21">
    <cfRule type="cellIs" dxfId="0" priority="29" stopIfTrue="1" operator="equal">
      <formula>""</formula>
    </cfRule>
  </conditionalFormatting>
  <conditionalFormatting sqref="B18:B20">
    <cfRule type="cellIs" dxfId="0" priority="30" stopIfTrue="1" operator="equal">
      <formula>""</formula>
    </cfRule>
  </conditionalFormatting>
  <conditionalFormatting sqref="B22:B23">
    <cfRule type="cellIs" dxfId="0" priority="31" stopIfTrue="1" operator="equal">
      <formula>""</formula>
    </cfRule>
  </conditionalFormatting>
  <conditionalFormatting sqref="A5:A12 A14:A23">
    <cfRule type="expression" dxfId="1" priority="4" stopIfTrue="1">
      <formula>#REF!="完成"</formula>
    </cfRule>
  </conditionalFormatting>
  <conditionalFormatting sqref="C18:D23">
    <cfRule type="cellIs" dxfId="0" priority="32" stopIfTrue="1" operator="equal">
      <formula>""</formula>
    </cfRule>
  </conditionalFormatting>
  <dataValidations count="1">
    <dataValidation type="list" allowBlank="1" showInputMessage="1" showErrorMessage="1" sqref="E5:E23">
      <formula1>"混凝土坝,土石坝"</formula1>
    </dataValidation>
  </dataValidations>
  <pageMargins left="0.75" right="0.75" top="1" bottom="1" header="0.5" footer="0.5"/>
  <pageSetup paperSize="9" scale="52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项目总投资</vt:lpstr>
      <vt:lpstr>234座山塘维修养护 </vt:lpstr>
      <vt:lpstr>10座山塘白蚁防治</vt:lpstr>
      <vt:lpstr>正常管理数据</vt:lpstr>
      <vt:lpstr>标准化管理数据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根据《浙江省水利工程维修养护定额》进行测算。</dc:description>
  <cp:lastModifiedBy>Jun L  Mao</cp:lastModifiedBy>
  <cp:revision>1</cp:revision>
  <dcterms:created xsi:type="dcterms:W3CDTF">1996-12-17T01:32:00Z</dcterms:created>
  <cp:lastPrinted>2016-03-14T02:00:00Z</cp:lastPrinted>
  <dcterms:modified xsi:type="dcterms:W3CDTF">2025-05-18T07:19:49Z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7B02BA4859E14637892D4D2F72EF27F9_13</vt:lpwstr>
  </property>
</Properties>
</file>