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75" tabRatio="924" activeTab="4"/>
  </bookViews>
  <sheets>
    <sheet name="表一" sheetId="27" r:id="rId1"/>
    <sheet name="表二(451)" sheetId="7" state="hidden" r:id="rId2"/>
    <sheet name="表三甲(451)" sheetId="6" state="hidden" r:id="rId3"/>
    <sheet name="表二" sheetId="38" r:id="rId4"/>
    <sheet name="表三甲" sheetId="33" r:id="rId5"/>
    <sheet name="表三乙(451)" sheetId="13" state="hidden" r:id="rId6"/>
    <sheet name="表三乙" sheetId="34" r:id="rId7"/>
    <sheet name="表三丙（451）" sheetId="14" state="hidden" r:id="rId8"/>
    <sheet name="表三丙" sheetId="35" r:id="rId9"/>
    <sheet name="表四甲 主设备" sheetId="31" state="hidden" r:id="rId10"/>
    <sheet name="表四甲-设备" sheetId="36" r:id="rId11"/>
    <sheet name="表四甲 材料表" sheetId="32" state="hidden" r:id="rId12"/>
    <sheet name="表四甲-材料" sheetId="37" r:id="rId13"/>
    <sheet name="表五" sheetId="30" r:id="rId14"/>
    <sheet name="计算稿" sheetId="39" state="hidden" r:id="rId15"/>
  </sheets>
  <externalReferences>
    <externalReference r:id="rId16"/>
    <externalReference r:id="rId17"/>
  </externalReferences>
  <definedNames>
    <definedName name="_xlnm.Print_Area" localSheetId="7">'表三丙（451）'!$B$1:$K$28</definedName>
    <definedName name="_xlnm.Print_Area" localSheetId="2">'表三甲(451)'!$B$1:$J$90</definedName>
    <definedName name="_xlnm.Print_Area" localSheetId="5">'表三乙(451)'!$B$1:$K$7</definedName>
    <definedName name="_xlnm.Print_Area" localSheetId="11">'表四甲 材料表'!$A$1:$J$61</definedName>
    <definedName name="_xlnm.Print_Area" localSheetId="9">'表四甲 主设备'!$A$1:$J$28</definedName>
    <definedName name="_xlnm.Print_Area" localSheetId="13">表五!$A$1:$K$20</definedName>
    <definedName name="V_CELL">#REF!</definedName>
    <definedName name="不需要安装设备费">[1]纯工程量部分!$W$30</definedName>
    <definedName name="材料表">#REF!</definedName>
    <definedName name="单位工程名称">[1]公共信息!$B$7&amp;[1]公共信息!$C$7</definedName>
    <definedName name="单项工程名称">[1]公共信息!$B$6&amp;[1]公共信息!$C$6</definedName>
    <definedName name="分布系统电源设备">[2]材料输入!$D$503:$O$547</definedName>
    <definedName name="分布系统设备">[2]材料输入!$D$334:$O$463</definedName>
    <definedName name="机房内电源配套设备">[2]材料输入!$D$55:$O$102</definedName>
    <definedName name="机房配套设备费不含税">'表四甲 主设备'!#REF!</definedName>
    <definedName name="机房无线配套设备">[2]材料输入!$D$7:$O$28</definedName>
    <definedName name="脚注1">[1]公共信息!$C$16</definedName>
    <definedName name="脚注2">[1]公共信息!$C$17</definedName>
    <definedName name="销项税额">'[1]表二（折扣）'!$H$23</definedName>
    <definedName name="信源设备">[2]材料输入!$D$135:$O$297</definedName>
    <definedName name="需安装设备不含税">[1]表四甲设备表!$G$148</definedName>
    <definedName name="折后建安工程费不含税">'[1]表二（折扣）'!$D$7</definedName>
    <definedName name="主设备">#REF!</definedName>
    <definedName name="_xlnm.Print_Area" localSheetId="4">表三甲!$A$1:$P$29</definedName>
    <definedName name="_xlnm.Print_Titles" localSheetId="4">表三甲!$1:$5</definedName>
    <definedName name="_xlnm.Print_Area" localSheetId="6">表三乙!$A$1:$R$7</definedName>
    <definedName name="_xlnm.Print_Area" localSheetId="8">表三丙!$A$1:$R$12</definedName>
    <definedName name="_xlnm.Print_Area" localSheetId="10">'表四甲-设备'!$A$1:$P$25</definedName>
    <definedName name="_xlnm.Print_Titles" localSheetId="10">'表四甲-设备'!$1:$4</definedName>
    <definedName name="_xlnm.Print_Area" localSheetId="12">'表四甲-材料'!$A$1:$P$29</definedName>
    <definedName name="_xlnm.Print_Area" localSheetId="3">表二!$A$1:$G$40</definedName>
    <definedName name="_xlnm.Print_Area" localSheetId="0">表一!$A$1:$Y$10</definedName>
    <definedName name="_xlnm.Print_Titles" localSheetId="12">'表四甲-材料'!$1:$4</definedName>
    <definedName name="_xlnm.Print_Titles" localSheetId="3">表二!$1:$3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<sst xmlns="http://schemas.openxmlformats.org/spreadsheetml/2006/main" count="1761" uniqueCount="385">
  <si>
    <t>建设项目审核汇总表（表一）</t>
  </si>
  <si>
    <t>工程名称：杭州钱塘区下沙街道开发区电力隧道（一期二标）信号覆盖建设工程</t>
  </si>
  <si>
    <r>
      <rPr>
        <sz val="9"/>
        <color theme="1"/>
        <rFont val="宋体"/>
        <charset val="134"/>
      </rPr>
      <t>表格编号：</t>
    </r>
    <r>
      <rPr>
        <sz val="9"/>
        <color theme="1"/>
        <rFont val="Arial"/>
        <charset val="134"/>
      </rPr>
      <t xml:space="preserve">TSW-1A      </t>
    </r>
    <r>
      <rPr>
        <sz val="9"/>
        <color theme="1"/>
        <rFont val="宋体"/>
        <charset val="134"/>
      </rPr>
      <t>第全页</t>
    </r>
  </si>
  <si>
    <t>金额单位：元</t>
  </si>
  <si>
    <t>序号</t>
  </si>
  <si>
    <t>表格编号</t>
  </si>
  <si>
    <t>费用名称</t>
  </si>
  <si>
    <t>送审金额</t>
  </si>
  <si>
    <t>审核金额</t>
  </si>
  <si>
    <t>核增</t>
  </si>
  <si>
    <t>核减</t>
  </si>
  <si>
    <t>小型建筑工程费</t>
  </si>
  <si>
    <t>需要安装的
设备费</t>
  </si>
  <si>
    <t>不需要安装的设备、工器具费</t>
  </si>
  <si>
    <t>建筑安装工程费</t>
  </si>
  <si>
    <t>其他费用</t>
  </si>
  <si>
    <t>预备
费</t>
  </si>
  <si>
    <t>总 价 值</t>
  </si>
  <si>
    <t>（元）</t>
  </si>
  <si>
    <t>除税价</t>
  </si>
  <si>
    <t>增值税</t>
  </si>
  <si>
    <t>含税价</t>
  </si>
  <si>
    <t>其中外币()</t>
  </si>
  <si>
    <t>TAB4XA</t>
  </si>
  <si>
    <t>需要安装的设备费</t>
  </si>
  <si>
    <t>TAB2</t>
  </si>
  <si>
    <t>TAB5A</t>
  </si>
  <si>
    <t>工程建设其他费</t>
  </si>
  <si>
    <t>小计</t>
  </si>
  <si>
    <t>下浮8%后</t>
  </si>
  <si>
    <t/>
  </si>
  <si>
    <t>其中回收费用</t>
  </si>
  <si>
    <t>设计负责人：                                                        审核：                                               编制：</t>
  </si>
  <si>
    <t>编制日期：2023年12月</t>
  </si>
  <si>
    <t>建设安装工程费用预算表(表二)-定额</t>
  </si>
  <si>
    <t>表格编号：TSW-2A      第全页</t>
  </si>
  <si>
    <t>依据和计算方法</t>
  </si>
  <si>
    <t>合     计(元)</t>
  </si>
  <si>
    <t>Ⅰ</t>
  </si>
  <si>
    <t>Ⅱ</t>
  </si>
  <si>
    <t>Ⅲ</t>
  </si>
  <si>
    <t>Ⅳ</t>
  </si>
  <si>
    <t>建安工程费（含税价）</t>
  </si>
  <si>
    <t>一～四之和</t>
  </si>
  <si>
    <t>施工队伍调遣费</t>
  </si>
  <si>
    <t>建安工程费（除税价）</t>
  </si>
  <si>
    <t>一～三之和</t>
  </si>
  <si>
    <t>大型施工机械调遣费</t>
  </si>
  <si>
    <t>一</t>
  </si>
  <si>
    <t>直接费</t>
  </si>
  <si>
    <t>(一)～(二)之和</t>
  </si>
  <si>
    <t>二</t>
  </si>
  <si>
    <t>间接费</t>
  </si>
  <si>
    <t>(一)</t>
  </si>
  <si>
    <t>直接工程费</t>
  </si>
  <si>
    <t>1～4之和</t>
  </si>
  <si>
    <t>规费</t>
  </si>
  <si>
    <t>人工费</t>
  </si>
  <si>
    <t>(1)～(2)之和</t>
  </si>
  <si>
    <t>工程排污费</t>
  </si>
  <si>
    <t>技工费</t>
  </si>
  <si>
    <r>
      <rPr>
        <sz val="10"/>
        <color theme="1"/>
        <rFont val="宋体"/>
        <charset val="134"/>
      </rPr>
      <t>技工总工日</t>
    </r>
    <r>
      <rPr>
        <sz val="10"/>
        <color theme="1"/>
        <rFont val="Arial"/>
        <charset val="134"/>
      </rPr>
      <t>×114×1.16</t>
    </r>
  </si>
  <si>
    <t>社会保障费</t>
  </si>
  <si>
    <t>人工费×28.5%</t>
  </si>
  <si>
    <t>普工费</t>
  </si>
  <si>
    <t>普工总工日×61</t>
  </si>
  <si>
    <t>住房公积金</t>
  </si>
  <si>
    <t>人工费×4.19%</t>
  </si>
  <si>
    <t>材料费</t>
  </si>
  <si>
    <t>(1)～(2)项之和</t>
  </si>
  <si>
    <t>危险作业意外伤害保险费</t>
  </si>
  <si>
    <t>人工费×1.0%</t>
  </si>
  <si>
    <t>主要材料费</t>
  </si>
  <si>
    <t>由表四甲材料表</t>
  </si>
  <si>
    <t>(二)</t>
  </si>
  <si>
    <t>企业管理费</t>
  </si>
  <si>
    <t>人工费×27.4%</t>
  </si>
  <si>
    <t>辅助材料费</t>
  </si>
  <si>
    <t>主要材料费×3%</t>
  </si>
  <si>
    <t>三</t>
  </si>
  <si>
    <t>利润</t>
  </si>
  <si>
    <t>人工费×20%</t>
  </si>
  <si>
    <t>机械使用费</t>
  </si>
  <si>
    <t>由表三乙机械使用费</t>
  </si>
  <si>
    <t>四</t>
  </si>
  <si>
    <t>销项税额</t>
  </si>
  <si>
    <r>
      <rPr>
        <sz val="10"/>
        <rFont val="Arial"/>
        <charset val="134"/>
      </rPr>
      <t>(</t>
    </r>
    <r>
      <rPr>
        <sz val="10"/>
        <rFont val="宋体"/>
        <charset val="134"/>
      </rPr>
      <t>人工费</t>
    </r>
    <r>
      <rPr>
        <sz val="10"/>
        <rFont val="Arial"/>
        <charset val="134"/>
      </rPr>
      <t>+</t>
    </r>
    <r>
      <rPr>
        <sz val="10"/>
        <rFont val="宋体"/>
        <charset val="134"/>
      </rPr>
      <t>主要材料费</t>
    </r>
    <r>
      <rPr>
        <sz val="10"/>
        <rFont val="Arial"/>
        <charset val="134"/>
      </rPr>
      <t>+</t>
    </r>
    <r>
      <rPr>
        <sz val="10"/>
        <rFont val="宋体"/>
        <charset val="134"/>
      </rPr>
      <t>辅材费</t>
    </r>
    <r>
      <rPr>
        <sz val="10"/>
        <rFont val="Arial"/>
        <charset val="134"/>
      </rPr>
      <t>+</t>
    </r>
    <r>
      <rPr>
        <sz val="10"/>
        <rFont val="宋体"/>
        <charset val="134"/>
      </rPr>
      <t>机械使用费</t>
    </r>
    <r>
      <rPr>
        <sz val="10"/>
        <rFont val="Arial"/>
        <charset val="134"/>
      </rPr>
      <t>+</t>
    </r>
    <r>
      <rPr>
        <sz val="10"/>
        <rFont val="宋体"/>
        <charset val="134"/>
      </rPr>
      <t>仪器仪表使用费</t>
    </r>
    <r>
      <rPr>
        <sz val="10"/>
        <rFont val="Arial"/>
        <charset val="134"/>
      </rPr>
      <t>+</t>
    </r>
    <r>
      <rPr>
        <sz val="10"/>
        <rFont val="宋体"/>
        <charset val="134"/>
      </rPr>
      <t>措施项目费</t>
    </r>
    <r>
      <rPr>
        <sz val="10"/>
        <rFont val="Arial"/>
        <charset val="134"/>
      </rPr>
      <t>+</t>
    </r>
    <r>
      <rPr>
        <sz val="10"/>
        <rFont val="宋体"/>
        <charset val="134"/>
      </rPr>
      <t>规费</t>
    </r>
    <r>
      <rPr>
        <sz val="10"/>
        <rFont val="Arial"/>
        <charset val="134"/>
      </rPr>
      <t>+</t>
    </r>
    <r>
      <rPr>
        <sz val="10"/>
        <rFont val="宋体"/>
        <charset val="134"/>
      </rPr>
      <t>企业管理费</t>
    </r>
    <r>
      <rPr>
        <sz val="10"/>
        <rFont val="Arial"/>
        <charset val="134"/>
      </rPr>
      <t>+</t>
    </r>
    <r>
      <rPr>
        <sz val="10"/>
        <rFont val="宋体"/>
        <charset val="134"/>
      </rPr>
      <t>利润</t>
    </r>
    <r>
      <rPr>
        <sz val="10"/>
        <rFont val="Arial"/>
        <charset val="134"/>
      </rPr>
      <t>)×9%</t>
    </r>
  </si>
  <si>
    <t>仪表使用费</t>
  </si>
  <si>
    <t>由表三丙仪表使用费</t>
  </si>
  <si>
    <t>措施项目费</t>
  </si>
  <si>
    <t>1～15项之和</t>
  </si>
  <si>
    <t>文明施工费</t>
  </si>
  <si>
    <t>人工费×1.1%</t>
  </si>
  <si>
    <t>工地器材搬运费</t>
  </si>
  <si>
    <t>工程干扰费</t>
  </si>
  <si>
    <t>人工费(干扰地区)×4.0%</t>
  </si>
  <si>
    <t>工程点交、场地清理费</t>
  </si>
  <si>
    <t>人工费×2.5%</t>
  </si>
  <si>
    <t>临时设施费</t>
  </si>
  <si>
    <t>人工费×3.8%</t>
  </si>
  <si>
    <t>工程车辆使用费</t>
  </si>
  <si>
    <t>人工费×5.0%</t>
  </si>
  <si>
    <t>夜间施工增加费</t>
  </si>
  <si>
    <t>人工费×2.1%</t>
  </si>
  <si>
    <t>冬雨季施工增加费</t>
  </si>
  <si>
    <t>人工费(室外)×2.5%</t>
  </si>
  <si>
    <t>生产工具用具使用费</t>
  </si>
  <si>
    <t>人工费×0.8%</t>
  </si>
  <si>
    <t>施工用水电蒸气费</t>
  </si>
  <si>
    <t>特殊地区施工增加费</t>
  </si>
  <si>
    <t>已完工程及设备保护费</t>
  </si>
  <si>
    <t>人工费×1.5%</t>
  </si>
  <si>
    <t>运土费</t>
  </si>
  <si>
    <r>
      <rPr>
        <sz val="10"/>
        <color theme="1"/>
        <rFont val="宋体"/>
        <charset val="134"/>
      </rPr>
      <t>编制日期：</t>
    </r>
    <r>
      <rPr>
        <sz val="10"/>
        <color theme="1"/>
        <rFont val="Arial"/>
        <charset val="134"/>
      </rPr>
      <t>2023</t>
    </r>
    <r>
      <rPr>
        <sz val="10"/>
        <color theme="1"/>
        <rFont val="宋体"/>
        <charset val="134"/>
      </rPr>
      <t>年12月</t>
    </r>
  </si>
  <si>
    <t>建设安装工程量预算表(表三)甲</t>
  </si>
  <si>
    <t>表格编号：TSW-3甲      第1页</t>
  </si>
  <si>
    <t>定额编号</t>
  </si>
  <si>
    <t>项    目    名    称</t>
  </si>
  <si>
    <t>单位</t>
  </si>
  <si>
    <t>数量</t>
  </si>
  <si>
    <t>单位定额值(工日)</t>
  </si>
  <si>
    <t>合计值(工日)</t>
  </si>
  <si>
    <t>技工</t>
  </si>
  <si>
    <t>普工</t>
  </si>
  <si>
    <t>Ⅴ</t>
  </si>
  <si>
    <t>Ⅵ</t>
  </si>
  <si>
    <t>Ⅶ</t>
  </si>
  <si>
    <t>Ⅷ</t>
  </si>
  <si>
    <t>Ⅸ</t>
  </si>
  <si>
    <t>TSW1-030</t>
  </si>
  <si>
    <t>安装室内接地排</t>
  </si>
  <si>
    <t>个</t>
  </si>
  <si>
    <t>TSW1-036</t>
  </si>
  <si>
    <t>敷设硬质PVC管/槽</t>
  </si>
  <si>
    <t>十米</t>
  </si>
  <si>
    <t>TSW1-039</t>
  </si>
  <si>
    <t>安装电表箱</t>
  </si>
  <si>
    <t>TSW1-053</t>
  </si>
  <si>
    <t>设备机架间放绑软光纤(15m以下)</t>
  </si>
  <si>
    <t>条</t>
  </si>
  <si>
    <t>TSW1-058</t>
  </si>
  <si>
    <t>布放射频拉远单元(RRU)用光缆</t>
  </si>
  <si>
    <t>米条</t>
  </si>
  <si>
    <t>TSW1-059</t>
  </si>
  <si>
    <t>制作光缆成端接头</t>
  </si>
  <si>
    <t>芯</t>
  </si>
  <si>
    <t>TSW1-060</t>
  </si>
  <si>
    <t>室内布放电力电缆(单芯、相线截面积16mm2以下)</t>
  </si>
  <si>
    <t>十米条</t>
  </si>
  <si>
    <t>室内布放电力电缆(2芯、相线截面积16mm2以下)</t>
  </si>
  <si>
    <t>TSW1-085</t>
  </si>
  <si>
    <t>打穿楼墙洞(砖墙)</t>
  </si>
  <si>
    <t>处</t>
  </si>
  <si>
    <t>TSW1-086</t>
  </si>
  <si>
    <t>打穿楼墙洞(混凝土墙)</t>
  </si>
  <si>
    <t>TSW2-024</t>
  </si>
  <si>
    <t>安装室内天线(高度6m以下)</t>
  </si>
  <si>
    <t>副</t>
  </si>
  <si>
    <t>TSW2-026</t>
  </si>
  <si>
    <t>安装室内天线(电梯井)</t>
  </si>
  <si>
    <t>TSW2-027</t>
  </si>
  <si>
    <t>布放射频同轴电缆1/2英寸以下(4m以下，套管、竖井或顶棚上方)</t>
  </si>
  <si>
    <t>TSW2-028</t>
  </si>
  <si>
    <t>布放射频同轴电缆1/2英寸以下(每增加1m，套管、竖井或顶棚上方)</t>
  </si>
  <si>
    <t>TSW2-029</t>
  </si>
  <si>
    <t>布放射频同轴电缆7/8英寸以下(10m以下，套管、竖井或顶棚上方)</t>
  </si>
  <si>
    <t>TSW2-030</t>
  </si>
  <si>
    <t>布放射频同轴电缆7/8英寸以下(每增加1m，套管、竖井或顶棚上方)</t>
  </si>
  <si>
    <t>TSW2-039</t>
  </si>
  <si>
    <t>安装调测室内天、馈线附属设备(合路器、分路器、功分器、耦合器)</t>
  </si>
  <si>
    <t>安装调测室内天、馈线附属设备(合路器、分路器、功分器、耦合器)(电梯井)</t>
  </si>
  <si>
    <t>TSW2-046</t>
  </si>
  <si>
    <t>室内分布式天、馈线系统调测</t>
  </si>
  <si>
    <t>TSW2-062</t>
  </si>
  <si>
    <t>安装射频拉远设备(室内壁挂)</t>
  </si>
  <si>
    <t>套</t>
  </si>
  <si>
    <t>TSW2-070</t>
  </si>
  <si>
    <t>安装调测直放站设备</t>
  </si>
  <si>
    <t>站</t>
  </si>
  <si>
    <t>TSW2-081</t>
  </si>
  <si>
    <t>配合基站系统调测(定向，拉远1km以上)</t>
  </si>
  <si>
    <t>扇区</t>
  </si>
  <si>
    <t>估列1</t>
  </si>
  <si>
    <t>安装光分纤箱(墙壁式)</t>
  </si>
  <si>
    <t>合计</t>
  </si>
  <si>
    <t>建设安装工程量表(表三)甲</t>
  </si>
  <si>
    <t>表格编号：TSW-3甲      第2页</t>
  </si>
  <si>
    <t>表格编号：TSW-3甲      第3页</t>
  </si>
  <si>
    <t>建设安装工程费用预算表(表二)</t>
  </si>
  <si>
    <t>费 用 名 称</t>
  </si>
  <si>
    <t>备注</t>
  </si>
  <si>
    <t>技工总工日×114</t>
  </si>
  <si>
    <r>
      <rPr>
        <sz val="10"/>
        <color theme="1"/>
        <rFont val="宋体"/>
        <charset val="134"/>
      </rPr>
      <t>扣除系数</t>
    </r>
    <r>
      <rPr>
        <sz val="10"/>
        <color theme="1"/>
        <rFont val="Arial"/>
        <charset val="134"/>
      </rPr>
      <t>1.16</t>
    </r>
  </si>
  <si>
    <t>(人工费+主要材料费+辅材费+机械使用费+仪器仪表使用费+措施项目费+规费+企业管理费+利润)×9%</t>
  </si>
  <si>
    <t>建筑安装工程量审核明细表（表三）甲</t>
  </si>
  <si>
    <t>项目名称</t>
  </si>
  <si>
    <t>计算稿</t>
  </si>
  <si>
    <t>单位定额值（工日）</t>
  </si>
  <si>
    <t>概、预算值（工日）</t>
  </si>
  <si>
    <t>建筑安装工程机械使用费预算表(表三)乙</t>
  </si>
  <si>
    <t>表格编号：TSW-3乙      第全页</t>
  </si>
  <si>
    <r>
      <rPr>
        <sz val="10"/>
        <color theme="1"/>
        <rFont val="宋体"/>
        <charset val="134"/>
      </rPr>
      <t>项</t>
    </r>
    <r>
      <rPr>
        <sz val="10"/>
        <color theme="1"/>
        <rFont val="Arial"/>
        <charset val="134"/>
      </rPr>
      <t xml:space="preserve">    </t>
    </r>
    <r>
      <rPr>
        <sz val="10"/>
        <color theme="1"/>
        <rFont val="宋体"/>
        <charset val="134"/>
      </rPr>
      <t>目</t>
    </r>
    <r>
      <rPr>
        <sz val="10"/>
        <color theme="1"/>
        <rFont val="Arial"/>
        <charset val="134"/>
      </rPr>
      <t xml:space="preserve">    </t>
    </r>
    <r>
      <rPr>
        <sz val="10"/>
        <color theme="1"/>
        <rFont val="宋体"/>
        <charset val="134"/>
      </rPr>
      <t>名</t>
    </r>
    <r>
      <rPr>
        <sz val="10"/>
        <color theme="1"/>
        <rFont val="Arial"/>
        <charset val="134"/>
      </rPr>
      <t xml:space="preserve">    </t>
    </r>
    <r>
      <rPr>
        <sz val="10"/>
        <color theme="1"/>
        <rFont val="宋体"/>
        <charset val="134"/>
      </rPr>
      <t>称</t>
    </r>
  </si>
  <si>
    <t>机 械 名 称</t>
  </si>
  <si>
    <t>单位定额值</t>
  </si>
  <si>
    <t>合计值</t>
  </si>
  <si>
    <t>消耗量
(台班)</t>
  </si>
  <si>
    <t>单价
(元)</t>
  </si>
  <si>
    <t>合价
(元)</t>
  </si>
  <si>
    <t>Ⅹ</t>
  </si>
  <si>
    <t>光纤熔接机</t>
  </si>
  <si>
    <t>建筑安装工程机械使用费审核明细表（表三）乙</t>
  </si>
  <si>
    <t>机械名称</t>
  </si>
  <si>
    <t>概、预算值</t>
  </si>
  <si>
    <t>消耗量
（台班）</t>
  </si>
  <si>
    <t>单价
（元）</t>
  </si>
  <si>
    <t>建筑安装工程仪器仪表使用费预算表(表三)丙</t>
  </si>
  <si>
    <t>表格编号：TSW-3丙      第全页</t>
  </si>
  <si>
    <t>仪 表 名 称</t>
  </si>
  <si>
    <t>光时域反射仪</t>
  </si>
  <si>
    <t>微波信号发生器</t>
  </si>
  <si>
    <t>射频功率计</t>
  </si>
  <si>
    <t>天馈线测试仪</t>
  </si>
  <si>
    <t>操作测试终端(电脑)</t>
  </si>
  <si>
    <t>互调测试仪</t>
  </si>
  <si>
    <t>频谱分析仪</t>
  </si>
  <si>
    <t>数字传输分析仪</t>
  </si>
  <si>
    <t>建筑安装工程仪器仪表使用费审核明细表（表三）丙</t>
  </si>
  <si>
    <t>仪表名称</t>
  </si>
  <si>
    <r>
      <rPr>
        <b/>
        <sz val="18"/>
        <rFont val="宋体"/>
        <charset val="134"/>
      </rPr>
      <t>国内器材预算表（表四）甲</t>
    </r>
  </si>
  <si>
    <r>
      <rPr>
        <sz val="10"/>
        <rFont val="宋体"/>
        <charset val="134"/>
      </rPr>
      <t>需安装设备（表）</t>
    </r>
  </si>
  <si>
    <r>
      <rPr>
        <sz val="10"/>
        <rFont val="宋体"/>
        <charset val="134"/>
      </rPr>
      <t>表格编号：</t>
    </r>
    <r>
      <rPr>
        <sz val="10"/>
        <rFont val="Arial"/>
        <charset val="134"/>
      </rPr>
      <t>TSW-4</t>
    </r>
    <r>
      <rPr>
        <sz val="10"/>
        <rFont val="宋体"/>
        <charset val="134"/>
      </rPr>
      <t>甲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第</t>
    </r>
    <r>
      <rPr>
        <sz val="10"/>
        <rFont val="Arial"/>
        <charset val="134"/>
      </rPr>
      <t>1</t>
    </r>
    <r>
      <rPr>
        <sz val="10"/>
        <rFont val="宋体"/>
        <charset val="134"/>
      </rPr>
      <t>页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</si>
  <si>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</si>
  <si>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名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称</t>
    </r>
  </si>
  <si>
    <t>型号</t>
  </si>
  <si>
    <t>单
位</t>
  </si>
  <si>
    <r>
      <rPr>
        <sz val="10"/>
        <rFont val="宋体"/>
        <charset val="134"/>
      </rPr>
      <t>数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量</t>
    </r>
  </si>
  <si>
    <r>
      <rPr>
        <sz val="10"/>
        <rFont val="宋体"/>
        <charset val="134"/>
      </rPr>
      <t>单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价（元）</t>
    </r>
  </si>
  <si>
    <r>
      <rPr>
        <sz val="10"/>
        <rFont val="宋体"/>
        <charset val="134"/>
      </rPr>
      <t>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计（元）</t>
    </r>
  </si>
  <si>
    <r>
      <rPr>
        <sz val="10"/>
        <rFont val="宋体"/>
        <charset val="134"/>
      </rPr>
      <t>备注</t>
    </r>
  </si>
  <si>
    <r>
      <rPr>
        <sz val="10"/>
        <rFont val="宋体"/>
        <charset val="134"/>
      </rPr>
      <t>增值税</t>
    </r>
  </si>
  <si>
    <r>
      <rPr>
        <sz val="10"/>
        <rFont val="宋体"/>
        <charset val="134"/>
      </rPr>
      <t>含税价</t>
    </r>
  </si>
  <si>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</si>
  <si>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</si>
  <si>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</si>
  <si>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</si>
  <si>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Ⅴ</t>
    </r>
  </si>
  <si>
    <r>
      <rPr>
        <sz val="10"/>
        <rFont val="宋体"/>
        <charset val="134"/>
      </rPr>
      <t>Ⅵ</t>
    </r>
  </si>
  <si>
    <r>
      <rPr>
        <sz val="10"/>
        <rFont val="宋体"/>
        <charset val="134"/>
      </rPr>
      <t>Ⅸ</t>
    </r>
  </si>
  <si>
    <r>
      <rPr>
        <sz val="10"/>
        <rFont val="宋体"/>
        <charset val="134"/>
      </rPr>
      <t>Ⅹ</t>
    </r>
  </si>
  <si>
    <r>
      <rPr>
        <sz val="10"/>
        <color indexed="8"/>
        <rFont val="宋体"/>
        <charset val="134"/>
      </rPr>
      <t>Ⅺ</t>
    </r>
  </si>
  <si>
    <r>
      <rPr>
        <sz val="10"/>
        <rFont val="宋体"/>
        <charset val="134"/>
      </rPr>
      <t>Ⅻ</t>
    </r>
  </si>
  <si>
    <t>移动主设备</t>
  </si>
  <si>
    <t>LTE BBU (含license、主控板、基带板、机框、电源风扇、GPS天线等)</t>
  </si>
  <si>
    <t>台</t>
  </si>
  <si>
    <t>LTE RRU</t>
  </si>
  <si>
    <t>电联主设备</t>
  </si>
  <si>
    <t>室外型交转直模块供电模块</t>
  </si>
  <si>
    <t>OPM（含安装件）</t>
  </si>
  <si>
    <t>光模块</t>
  </si>
  <si>
    <t>华为9.8G-10KM</t>
  </si>
  <si>
    <t>尾纤-单芯 LC-FC</t>
  </si>
  <si>
    <t>LC-FC</t>
  </si>
  <si>
    <t>功分器</t>
  </si>
  <si>
    <t xml:space="preserve">二功分 </t>
  </si>
  <si>
    <t xml:space="preserve"> 耦合器（腔体）</t>
  </si>
  <si>
    <t>5dB</t>
  </si>
  <si>
    <t>6dB</t>
  </si>
  <si>
    <t>7dB</t>
  </si>
  <si>
    <t>10dB</t>
  </si>
  <si>
    <t>15dB</t>
  </si>
  <si>
    <t>20dB</t>
  </si>
  <si>
    <t>25dB</t>
  </si>
  <si>
    <t>普通室分天线</t>
  </si>
  <si>
    <t>室内全向单极化吸顶天线</t>
  </si>
  <si>
    <t>室内高增益对数周期天线</t>
  </si>
  <si>
    <r>
      <rPr>
        <sz val="10"/>
        <rFont val="宋体"/>
        <charset val="134"/>
      </rPr>
      <t>主设备一级物流费</t>
    </r>
  </si>
  <si>
    <r>
      <rPr>
        <sz val="10"/>
        <rFont val="宋体"/>
        <charset val="134"/>
      </rPr>
      <t>仓储服务</t>
    </r>
  </si>
  <si>
    <r>
      <rPr>
        <sz val="10"/>
        <rFont val="宋体"/>
        <charset val="134"/>
      </rPr>
      <t>配送运保费</t>
    </r>
  </si>
  <si>
    <r>
      <rPr>
        <sz val="10"/>
        <rFont val="宋体"/>
        <charset val="134"/>
      </rPr>
      <t>需要安装的设备费合计</t>
    </r>
  </si>
  <si>
    <r>
      <rPr>
        <sz val="10"/>
        <rFont val="宋体"/>
        <charset val="134"/>
      </rPr>
      <t>设计负责人：</t>
    </r>
    <r>
      <rPr>
        <sz val="10"/>
        <rFont val="Arial"/>
        <charset val="134"/>
      </rPr>
      <t xml:space="preserve">                                                        </t>
    </r>
    <r>
      <rPr>
        <sz val="10"/>
        <rFont val="宋体"/>
        <charset val="134"/>
      </rPr>
      <t>审核：</t>
    </r>
    <r>
      <rPr>
        <sz val="10"/>
        <rFont val="Arial"/>
        <charset val="134"/>
      </rPr>
      <t xml:space="preserve">                                               </t>
    </r>
    <r>
      <rPr>
        <sz val="10"/>
        <rFont val="宋体"/>
        <charset val="134"/>
      </rPr>
      <t>编制：</t>
    </r>
  </si>
  <si>
    <r>
      <rPr>
        <sz val="10"/>
        <rFont val="宋体"/>
        <charset val="134"/>
      </rPr>
      <t>编制日期：</t>
    </r>
    <r>
      <rPr>
        <sz val="10"/>
        <rFont val="Arial"/>
        <charset val="134"/>
      </rPr>
      <t>2023</t>
    </r>
    <r>
      <rPr>
        <sz val="10"/>
        <rFont val="宋体"/>
        <charset val="134"/>
      </rPr>
      <t>年</t>
    </r>
    <r>
      <rPr>
        <sz val="10"/>
        <rFont val="Arial"/>
        <charset val="134"/>
      </rPr>
      <t>12</t>
    </r>
    <r>
      <rPr>
        <sz val="10"/>
        <rFont val="宋体"/>
        <charset val="134"/>
      </rPr>
      <t>月</t>
    </r>
  </si>
  <si>
    <t>国内器材审核明细表（表四）甲 （主要设备表）</t>
  </si>
  <si>
    <r>
      <rPr>
        <sz val="10"/>
        <rFont val="宋体"/>
        <charset val="134"/>
      </rPr>
      <t>名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称</t>
    </r>
  </si>
  <si>
    <t>除税单价</t>
  </si>
  <si>
    <t>除税合价</t>
  </si>
  <si>
    <t>主设备一级物流费</t>
  </si>
  <si>
    <t>仓储服务</t>
  </si>
  <si>
    <t>配送运保费</t>
  </si>
  <si>
    <t>需要安装的设备费合计</t>
  </si>
  <si>
    <t>国内器材预算表（表四）甲</t>
  </si>
  <si>
    <t>（ 主要材料表 ）</t>
  </si>
  <si>
    <t>表格编号：TSW-4甲  第2页</t>
  </si>
  <si>
    <t>名  称</t>
  </si>
  <si>
    <t>供应商</t>
  </si>
  <si>
    <t>数 量</t>
  </si>
  <si>
    <t>单 价（元）</t>
  </si>
  <si>
    <t>合 计（元）</t>
  </si>
  <si>
    <t>Ⅺ</t>
  </si>
  <si>
    <t>Ⅻ</t>
  </si>
  <si>
    <t>1</t>
  </si>
  <si>
    <t>射频同轴电缆</t>
  </si>
  <si>
    <t>1/2"普通阻燃馈线</t>
  </si>
  <si>
    <t>m</t>
  </si>
  <si>
    <t>2</t>
  </si>
  <si>
    <t>7/8"普通阻燃馈线</t>
  </si>
  <si>
    <t>3</t>
  </si>
  <si>
    <t>电缆接头</t>
  </si>
  <si>
    <t>1/2"电缆接头(N-J1/2)</t>
  </si>
  <si>
    <t>4</t>
  </si>
  <si>
    <t>7/8"电缆接头(N-J7/8)</t>
  </si>
  <si>
    <t>5</t>
  </si>
  <si>
    <t>1/2"双公头(NJ-NJ-N-1/2)</t>
  </si>
  <si>
    <t>6</t>
  </si>
  <si>
    <t>1/2"双母头(NK-NK-N-1/2)</t>
  </si>
  <si>
    <t>7</t>
  </si>
  <si>
    <t>1/2"公头转母头弯头(N-JKW-1/2)</t>
  </si>
  <si>
    <t>8</t>
  </si>
  <si>
    <t>套管</t>
  </si>
  <si>
    <t>JDG套管Φ25</t>
  </si>
  <si>
    <t>米</t>
  </si>
  <si>
    <t>9</t>
  </si>
  <si>
    <t>JDG套管Φ40</t>
  </si>
  <si>
    <t>10</t>
  </si>
  <si>
    <t>PVC线槽</t>
  </si>
  <si>
    <t>11</t>
  </si>
  <si>
    <t>光纤</t>
  </si>
  <si>
    <t>12</t>
  </si>
  <si>
    <t>光缆成端接头</t>
  </si>
  <si>
    <t>13</t>
  </si>
  <si>
    <t>24芯光缆终端盒</t>
  </si>
  <si>
    <t>光缆分纤箱24芯</t>
  </si>
  <si>
    <t>14</t>
  </si>
  <si>
    <t>空开盒</t>
  </si>
  <si>
    <t>含双P空开*2</t>
  </si>
  <si>
    <t>只</t>
  </si>
  <si>
    <t>15</t>
  </si>
  <si>
    <t>电源线</t>
  </si>
  <si>
    <t>2×4mm2</t>
  </si>
  <si>
    <t>16</t>
  </si>
  <si>
    <t>接地线</t>
  </si>
  <si>
    <t>16平方毫米(单芯)</t>
  </si>
  <si>
    <t>17</t>
  </si>
  <si>
    <t>铜鼻子</t>
  </si>
  <si>
    <t>16平方毫米</t>
  </si>
  <si>
    <t>18</t>
  </si>
  <si>
    <t>打墙洞</t>
  </si>
  <si>
    <t>打穿楼墙洞</t>
  </si>
  <si>
    <t>19</t>
  </si>
  <si>
    <t>天线支架</t>
  </si>
  <si>
    <t>室内分布系统天线支架</t>
  </si>
  <si>
    <t>20</t>
  </si>
  <si>
    <t>接地排</t>
  </si>
  <si>
    <t>块</t>
  </si>
  <si>
    <t>21</t>
  </si>
  <si>
    <t>胶带</t>
  </si>
  <si>
    <t>盒</t>
  </si>
  <si>
    <t>22</t>
  </si>
  <si>
    <t>金属软管</t>
  </si>
  <si>
    <t>Φ25</t>
  </si>
  <si>
    <t>表格编号：TSW-4甲  第3页</t>
  </si>
  <si>
    <t>国内主要材料费合计</t>
  </si>
  <si>
    <t>名称</t>
  </si>
  <si>
    <t>规格程式</t>
  </si>
  <si>
    <t>含税合价</t>
  </si>
  <si>
    <t>工程建设其他费审核明细表（表五）甲</t>
  </si>
  <si>
    <t>计算依据及方法</t>
  </si>
  <si>
    <t>建设用地及综合赔补费</t>
  </si>
  <si>
    <t>建设单位管理费</t>
  </si>
  <si>
    <t>可行性研究费</t>
  </si>
  <si>
    <t>研究试验费</t>
  </si>
  <si>
    <t>勘察设计费</t>
  </si>
  <si>
    <t>勘察费</t>
  </si>
  <si>
    <t>根据设计框架协议的勘察费计算方法计取</t>
  </si>
  <si>
    <t>设计费</t>
  </si>
  <si>
    <t>环境影响评价费</t>
  </si>
  <si>
    <t>建设工程监理费</t>
  </si>
  <si>
    <t>根据监理框架合同的监理费计算方法计取</t>
  </si>
  <si>
    <t>安全生产费</t>
  </si>
  <si>
    <t>建安工程费(定额除税价)×2%</t>
  </si>
  <si>
    <t>引进技术及进口设备其它费</t>
  </si>
  <si>
    <t>工程保险费</t>
  </si>
  <si>
    <t>工程招标代理费</t>
  </si>
  <si>
    <t>专利及专利技术使用费</t>
  </si>
  <si>
    <t>总计</t>
  </si>
  <si>
    <t>生产准备及开办费（运营费）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</si>
</sst>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\(&quot;$&quot;#,##0\)"/>
    <numFmt numFmtId="177" formatCode="[$-F800]dddd\,\ mmmm\ dd\,\ yyyy"/>
    <numFmt numFmtId="178" formatCode="_-* #,##0_-;\-* #,##0_-;_-* &quot;-&quot;_-;_-@_-"/>
    <numFmt numFmtId="179" formatCode="_(* #,##0_);_(* \(#,##0\);_(* &quot;-&quot;_);_(@_)"/>
    <numFmt numFmtId="180" formatCode="_(* #,##0.00_);_(* \(#,##0.00\);_(* &quot;-&quot;??_);_(@_)"/>
    <numFmt numFmtId="181" formatCode="0_ "/>
    <numFmt numFmtId="182" formatCode="0.000_ "/>
    <numFmt numFmtId="183" formatCode="0.00_);[Red]\(0.00\)"/>
    <numFmt numFmtId="184" formatCode="0_);\(0\)"/>
    <numFmt numFmtId="185" formatCode="0.0_);\(0.0\)"/>
    <numFmt numFmtId="186" formatCode="0.00_ "/>
    <numFmt numFmtId="187" formatCode="#,##0.00_ "/>
    <numFmt numFmtId="188" formatCode="\(0\)"/>
    <numFmt numFmtId="189" formatCode="#,##0_);\(#,##0\)"/>
  </numFmts>
  <fonts count="7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b/>
      <sz val="18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2"/>
      <name val="Arial"/>
      <charset val="134"/>
    </font>
    <font>
      <sz val="8"/>
      <name val="Arial"/>
      <charset val="134"/>
    </font>
    <font>
      <sz val="10"/>
      <color theme="1"/>
      <name val="Arial"/>
      <charset val="134"/>
    </font>
    <font>
      <sz val="10"/>
      <color indexed="8"/>
      <name val="Arial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0"/>
      <color indexed="8"/>
      <name val="宋体"/>
      <charset val="134"/>
    </font>
    <font>
      <sz val="9"/>
      <color theme="1"/>
      <name val="Arial"/>
      <charset val="134"/>
    </font>
    <font>
      <sz val="8"/>
      <color indexed="8"/>
      <name val="MS Sans Serif"/>
      <charset val="0"/>
    </font>
    <font>
      <b/>
      <sz val="20"/>
      <name val="宋体"/>
      <charset val="134"/>
    </font>
    <font>
      <sz val="9"/>
      <color indexed="8"/>
      <name val="宋体"/>
      <charset val="134"/>
    </font>
    <font>
      <sz val="10"/>
      <name val="昆仑仿宋"/>
      <charset val="134"/>
    </font>
    <font>
      <sz val="9"/>
      <name val="Arial"/>
      <charset val="134"/>
    </font>
    <font>
      <sz val="10"/>
      <color indexed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楷体_GB2312"/>
      <charset val="134"/>
    </font>
    <font>
      <sz val="14"/>
      <color theme="7" tint="-0.249946592608417"/>
      <name val="宋体"/>
      <charset val="134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2"/>
      <name val="微软繁仿宋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0"/>
      <name val="Helv"/>
      <charset val="134"/>
    </font>
    <font>
      <sz val="11"/>
      <color indexed="8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黑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3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4" borderId="3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5" borderId="35" applyNumberFormat="0" applyAlignment="0" applyProtection="0">
      <alignment vertical="center"/>
    </xf>
    <xf numFmtId="0" fontId="39" fillId="6" borderId="36" applyNumberFormat="0" applyAlignment="0" applyProtection="0">
      <alignment vertical="center"/>
    </xf>
    <xf numFmtId="0" fontId="40" fillId="6" borderId="35" applyNumberFormat="0" applyAlignment="0" applyProtection="0">
      <alignment vertical="center"/>
    </xf>
    <xf numFmtId="0" fontId="41" fillId="7" borderId="37" applyNumberFormat="0" applyAlignment="0" applyProtection="0">
      <alignment vertical="center"/>
    </xf>
    <xf numFmtId="0" fontId="42" fillId="0" borderId="38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9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0" fillId="0" borderId="0"/>
    <xf numFmtId="0" fontId="49" fillId="0" borderId="0"/>
    <xf numFmtId="0" fontId="8" fillId="0" borderId="0"/>
    <xf numFmtId="0" fontId="8" fillId="0" borderId="0"/>
    <xf numFmtId="0" fontId="2" fillId="0" borderId="0">
      <alignment vertical="center"/>
    </xf>
    <xf numFmtId="0" fontId="50" fillId="0" borderId="0"/>
    <xf numFmtId="0" fontId="2" fillId="0" borderId="0" applyNumberFormat="0" applyBorder="0" applyAlignment="0" applyProtection="0">
      <alignment vertical="center"/>
    </xf>
    <xf numFmtId="0" fontId="2" fillId="0" borderId="0"/>
    <xf numFmtId="0" fontId="50" fillId="0" borderId="0"/>
    <xf numFmtId="0" fontId="50" fillId="0" borderId="0"/>
    <xf numFmtId="0" fontId="50" fillId="0" borderId="0"/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52" fillId="0" borderId="40">
      <alignment horizontal="left" vertical="center" wrapText="1"/>
    </xf>
    <xf numFmtId="0" fontId="52" fillId="0" borderId="41">
      <alignment horizontal="left" vertical="center" wrapText="1"/>
    </xf>
    <xf numFmtId="0" fontId="12" fillId="0" borderId="0"/>
    <xf numFmtId="0" fontId="49" fillId="0" borderId="0"/>
    <xf numFmtId="0" fontId="53" fillId="0" borderId="0">
      <alignment horizontal="left" vertical="center"/>
    </xf>
    <xf numFmtId="9" fontId="0" fillId="0" borderId="0" applyFont="0" applyFill="0" applyBorder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4" fillId="0" borderId="42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/>
    <xf numFmtId="0" fontId="13" fillId="0" borderId="0"/>
    <xf numFmtId="0" fontId="50" fillId="0" borderId="0">
      <alignment vertical="center"/>
    </xf>
    <xf numFmtId="0" fontId="2" fillId="0" borderId="0"/>
    <xf numFmtId="0" fontId="2" fillId="0" borderId="0"/>
    <xf numFmtId="0" fontId="26" fillId="0" borderId="0"/>
    <xf numFmtId="0" fontId="0" fillId="0" borderId="0">
      <alignment vertical="center"/>
    </xf>
    <xf numFmtId="0" fontId="2" fillId="0" borderId="0"/>
    <xf numFmtId="0" fontId="26" fillId="0" borderId="0"/>
    <xf numFmtId="177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9" fillId="0" borderId="0"/>
    <xf numFmtId="0" fontId="49" fillId="0" borderId="0"/>
    <xf numFmtId="177" fontId="49" fillId="0" borderId="0"/>
    <xf numFmtId="177" fontId="59" fillId="0" borderId="0"/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1" fillId="0" borderId="45" applyNumberFormat="0" applyFill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2" fillId="49" borderId="46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3" fillId="50" borderId="47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0" fontId="66" fillId="0" borderId="48" applyNumberFormat="0" applyFill="0" applyAlignment="0" applyProtection="0">
      <alignment vertical="center"/>
    </xf>
    <xf numFmtId="177" fontId="67" fillId="0" borderId="0"/>
    <xf numFmtId="177" fontId="67" fillId="0" borderId="0"/>
    <xf numFmtId="178" fontId="2" fillId="0" borderId="0" applyFont="0" applyFill="0" applyBorder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68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69" fillId="55" borderId="0" applyNumberFormat="0" applyBorder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0" fillId="49" borderId="49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71" fillId="40" borderId="46" applyNumberFormat="0" applyAlignment="0" applyProtection="0">
      <alignment vertical="center"/>
    </xf>
    <xf numFmtId="0" fontId="12" fillId="0" borderId="0"/>
    <xf numFmtId="0" fontId="67" fillId="0" borderId="0"/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0" fontId="50" fillId="56" borderId="50" applyNumberFormat="0" applyFont="0" applyAlignment="0" applyProtection="0">
      <alignment vertical="center"/>
    </xf>
    <xf numFmtId="177" fontId="72" fillId="0" borderId="0" applyFont="0" applyBorder="0" applyAlignment="0">
      <alignment vertical="center"/>
    </xf>
  </cellStyleXfs>
  <cellXfs count="35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>
      <alignment vertical="center"/>
    </xf>
    <xf numFmtId="0" fontId="1" fillId="2" borderId="0" xfId="0" applyFont="1" applyFill="1" applyBorder="1" applyAlignment="1">
      <alignment vertical="center"/>
    </xf>
    <xf numFmtId="177" fontId="2" fillId="0" borderId="0" xfId="0" applyNumberFormat="1" applyFont="1" applyFill="1" applyAlignment="1" applyProtection="1">
      <protection locked="0"/>
    </xf>
    <xf numFmtId="0" fontId="0" fillId="2" borderId="0" xfId="0" applyFill="1">
      <alignment vertical="center"/>
    </xf>
    <xf numFmtId="0" fontId="3" fillId="0" borderId="0" xfId="495" applyNumberFormat="1" applyFont="1" applyFill="1" applyAlignment="1" applyProtection="1">
      <alignment horizontal="center" vertical="center"/>
      <protection hidden="1"/>
    </xf>
    <xf numFmtId="39" fontId="4" fillId="3" borderId="0" xfId="0" applyNumberFormat="1" applyFont="1" applyFill="1" applyAlignment="1" applyProtection="1">
      <alignment horizontal="left"/>
      <protection hidden="1"/>
    </xf>
    <xf numFmtId="39" fontId="3" fillId="3" borderId="0" xfId="0" applyNumberFormat="1" applyFont="1" applyFill="1" applyAlignment="1" applyProtection="1">
      <alignment horizontal="center" vertical="center"/>
      <protection hidden="1"/>
    </xf>
    <xf numFmtId="181" fontId="3" fillId="3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2" fontId="5" fillId="2" borderId="1" xfId="0" applyNumberFormat="1" applyFont="1" applyFill="1" applyBorder="1" applyAlignment="1" applyProtection="1">
      <alignment horizontal="center" vertical="center"/>
      <protection locked="0"/>
    </xf>
    <xf numFmtId="18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183" fontId="5" fillId="2" borderId="1" xfId="0" applyNumberFormat="1" applyFont="1" applyFill="1" applyBorder="1" applyProtection="1">
      <alignment vertical="center"/>
      <protection locked="0"/>
    </xf>
    <xf numFmtId="181" fontId="5" fillId="0" borderId="1" xfId="0" applyNumberFormat="1" applyFont="1" applyBorder="1" applyAlignment="1" applyProtection="1">
      <alignment horizontal="center" vertical="center"/>
      <protection locked="0"/>
    </xf>
    <xf numFmtId="184" fontId="4" fillId="2" borderId="1" xfId="61" applyNumberFormat="1" applyFont="1" applyFill="1" applyBorder="1" applyAlignment="1" applyProtection="1">
      <alignment horizontal="center" vertical="center" wrapText="1"/>
      <protection locked="0"/>
    </xf>
    <xf numFmtId="185" fontId="4" fillId="2" borderId="1" xfId="6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" xfId="6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Protection="1">
      <alignment vertical="center"/>
      <protection locked="0"/>
    </xf>
    <xf numFmtId="183" fontId="6" fillId="2" borderId="1" xfId="0" applyNumberFormat="1" applyFont="1" applyFill="1" applyBorder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82" fontId="6" fillId="2" borderId="1" xfId="0" applyNumberFormat="1" applyFont="1" applyFill="1" applyBorder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Protection="1">
      <alignment vertical="center"/>
      <protection locked="0"/>
    </xf>
    <xf numFmtId="182" fontId="6" fillId="2" borderId="0" xfId="0" applyNumberFormat="1" applyFont="1" applyFill="1" applyProtection="1">
      <alignment vertical="center"/>
      <protection locked="0"/>
    </xf>
    <xf numFmtId="0" fontId="3" fillId="0" borderId="0" xfId="495" applyNumberFormat="1" applyFont="1" applyFill="1" applyAlignment="1" applyProtection="1">
      <alignment vertical="center"/>
      <protection hidden="1"/>
    </xf>
    <xf numFmtId="0" fontId="3" fillId="0" borderId="0" xfId="495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/>
    <xf numFmtId="181" fontId="4" fillId="2" borderId="0" xfId="392" applyNumberFormat="1" applyFont="1" applyFill="1" applyBorder="1" applyAlignment="1">
      <alignment horizontal="right"/>
    </xf>
    <xf numFmtId="0" fontId="4" fillId="2" borderId="1" xfId="392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86" fontId="5" fillId="2" borderId="1" xfId="0" applyNumberFormat="1" applyFont="1" applyFill="1" applyBorder="1" applyProtection="1">
      <alignment vertical="center"/>
      <protection locked="0"/>
    </xf>
    <xf numFmtId="182" fontId="5" fillId="2" borderId="1" xfId="0" applyNumberFormat="1" applyFont="1" applyFill="1" applyBorder="1" applyProtection="1">
      <alignment vertical="center"/>
      <protection locked="0"/>
    </xf>
    <xf numFmtId="182" fontId="9" fillId="2" borderId="0" xfId="0" applyNumberFormat="1" applyFont="1" applyFill="1" applyAlignment="1" applyProtection="1">
      <alignment horizontal="right" vertical="center"/>
      <protection locked="0"/>
    </xf>
    <xf numFmtId="39" fontId="3" fillId="3" borderId="0" xfId="0" applyNumberFormat="1" applyFont="1" applyFill="1" applyAlignment="1" applyProtection="1">
      <alignment horizontal="left" vertical="center"/>
      <protection hidden="1"/>
    </xf>
    <xf numFmtId="39" fontId="3" fillId="3" borderId="0" xfId="0" applyNumberFormat="1" applyFont="1" applyFill="1" applyAlignment="1" applyProtection="1">
      <alignment vertical="center"/>
      <protection hidden="1"/>
    </xf>
    <xf numFmtId="39" fontId="10" fillId="3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locked="0"/>
    </xf>
    <xf numFmtId="177" fontId="2" fillId="2" borderId="0" xfId="0" applyNumberFormat="1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39" fontId="11" fillId="2" borderId="0" xfId="0" applyNumberFormat="1" applyFont="1" applyFill="1" applyAlignment="1" applyProtection="1">
      <alignment horizontal="center" vertical="center"/>
      <protection hidden="1"/>
    </xf>
    <xf numFmtId="0" fontId="4" fillId="2" borderId="1" xfId="392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81" fontId="4" fillId="0" borderId="1" xfId="0" applyNumberFormat="1" applyFont="1" applyFill="1" applyBorder="1" applyAlignment="1" applyProtection="1">
      <alignment horizontal="center" vertical="center"/>
    </xf>
    <xf numFmtId="181" fontId="4" fillId="2" borderId="1" xfId="392" applyNumberFormat="1" applyFont="1" applyFill="1" applyBorder="1" applyAlignment="1">
      <alignment horizontal="center" vertical="center"/>
    </xf>
    <xf numFmtId="183" fontId="4" fillId="2" borderId="1" xfId="496" applyNumberFormat="1" applyFont="1" applyFill="1" applyBorder="1" applyAlignment="1" applyProtection="1">
      <alignment horizontal="center" vertical="center"/>
      <protection hidden="1"/>
    </xf>
    <xf numFmtId="183" fontId="4" fillId="2" borderId="1" xfId="496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186" fontId="5" fillId="0" borderId="1" xfId="0" applyNumberFormat="1" applyFont="1" applyBorder="1" applyAlignment="1" applyProtection="1">
      <alignment horizontal="center" vertical="center"/>
      <protection locked="0"/>
    </xf>
    <xf numFmtId="181" fontId="4" fillId="2" borderId="1" xfId="496" applyNumberFormat="1" applyFont="1" applyFill="1" applyBorder="1" applyAlignment="1" applyProtection="1">
      <alignment horizontal="center" vertical="center"/>
      <protection hidden="1"/>
    </xf>
    <xf numFmtId="4" fontId="4" fillId="2" borderId="1" xfId="496" applyNumberFormat="1" applyFont="1" applyFill="1" applyBorder="1" applyAlignment="1" applyProtection="1">
      <alignment horizontal="center" vertical="center"/>
      <protection hidden="1"/>
    </xf>
    <xf numFmtId="177" fontId="4" fillId="2" borderId="1" xfId="496" applyFont="1" applyFill="1" applyBorder="1" applyAlignment="1" applyProtection="1">
      <alignment horizontal="left" vertical="center"/>
      <protection hidden="1"/>
    </xf>
    <xf numFmtId="177" fontId="4" fillId="2" borderId="1" xfId="496" applyFont="1" applyFill="1" applyBorder="1" applyAlignment="1" applyProtection="1">
      <alignment horizontal="center" vertical="center"/>
      <protection hidden="1"/>
    </xf>
    <xf numFmtId="3" fontId="4" fillId="2" borderId="1" xfId="496" applyNumberFormat="1" applyFont="1" applyFill="1" applyBorder="1" applyAlignment="1" applyProtection="1">
      <alignment horizontal="center" vertical="center"/>
      <protection hidden="1"/>
    </xf>
    <xf numFmtId="1" fontId="4" fillId="2" borderId="1" xfId="0" applyNumberFormat="1" applyFont="1" applyFill="1" applyBorder="1" applyAlignment="1" applyProtection="1">
      <alignment horizontal="center" vertical="center"/>
      <protection hidden="1"/>
    </xf>
    <xf numFmtId="39" fontId="4" fillId="2" borderId="1" xfId="0" applyNumberFormat="1" applyFont="1" applyFill="1" applyBorder="1" applyAlignment="1" applyProtection="1">
      <alignment horizontal="center" vertical="center"/>
      <protection hidden="1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181" fontId="4" fillId="2" borderId="1" xfId="0" applyNumberFormat="1" applyFont="1" applyFill="1" applyBorder="1" applyAlignment="1" applyProtection="1">
      <alignment horizontal="center" vertical="center"/>
      <protection hidden="1"/>
    </xf>
    <xf numFmtId="4" fontId="4" fillId="2" borderId="1" xfId="497" applyNumberFormat="1" applyFont="1" applyFill="1" applyBorder="1" applyAlignment="1" applyProtection="1">
      <alignment horizontal="center" vertical="center"/>
      <protection hidden="1"/>
    </xf>
    <xf numFmtId="1" fontId="12" fillId="2" borderId="4" xfId="0" applyNumberFormat="1" applyFont="1" applyFill="1" applyBorder="1" applyAlignment="1" applyProtection="1">
      <alignment horizontal="left" vertical="center"/>
      <protection hidden="1"/>
    </xf>
    <xf numFmtId="177" fontId="13" fillId="2" borderId="0" xfId="0" applyNumberFormat="1" applyFont="1" applyFill="1" applyAlignment="1" applyProtection="1">
      <protection hidden="1"/>
    </xf>
    <xf numFmtId="0" fontId="4" fillId="2" borderId="2" xfId="392" applyFont="1" applyFill="1" applyBorder="1" applyAlignment="1">
      <alignment horizontal="center" vertical="center"/>
    </xf>
    <xf numFmtId="181" fontId="4" fillId="2" borderId="2" xfId="392" applyNumberFormat="1" applyFont="1" applyFill="1" applyBorder="1" applyAlignment="1">
      <alignment horizontal="center" vertical="center"/>
    </xf>
    <xf numFmtId="0" fontId="4" fillId="2" borderId="3" xfId="392" applyFont="1" applyFill="1" applyBorder="1" applyAlignment="1">
      <alignment horizontal="center" vertical="center"/>
    </xf>
    <xf numFmtId="181" fontId="4" fillId="2" borderId="3" xfId="392" applyNumberFormat="1" applyFont="1" applyFill="1" applyBorder="1" applyAlignment="1">
      <alignment horizontal="center" vertical="center"/>
    </xf>
    <xf numFmtId="183" fontId="4" fillId="2" borderId="1" xfId="0" applyNumberFormat="1" applyFont="1" applyFill="1" applyBorder="1" applyAlignment="1" applyProtection="1">
      <alignment horizontal="center" vertical="center"/>
      <protection hidden="1"/>
    </xf>
    <xf numFmtId="39" fontId="11" fillId="2" borderId="0" xfId="0" applyNumberFormat="1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protection hidden="1"/>
    </xf>
    <xf numFmtId="0" fontId="1" fillId="2" borderId="5" xfId="0" applyFont="1" applyFill="1" applyBorder="1" applyAlignment="1">
      <alignment horizontal="center" vertical="center"/>
    </xf>
    <xf numFmtId="4" fontId="12" fillId="2" borderId="6" xfId="496" applyNumberFormat="1" applyFont="1" applyFill="1" applyBorder="1" applyAlignment="1" applyProtection="1">
      <alignment horizontal="right" vertical="center"/>
      <protection hidden="1"/>
    </xf>
    <xf numFmtId="177" fontId="12" fillId="2" borderId="7" xfId="0" applyNumberFormat="1" applyFont="1" applyFill="1" applyBorder="1" applyAlignment="1" applyProtection="1">
      <alignment horizontal="center" vertical="center"/>
      <protection hidden="1"/>
    </xf>
    <xf numFmtId="183" fontId="12" fillId="2" borderId="8" xfId="0" applyNumberFormat="1" applyFont="1" applyFill="1" applyBorder="1" applyAlignment="1" applyProtection="1">
      <alignment horizontal="center" vertical="center"/>
      <protection hidden="1"/>
    </xf>
    <xf numFmtId="4" fontId="12" fillId="2" borderId="9" xfId="497" applyNumberFormat="1" applyFont="1" applyFill="1" applyBorder="1" applyAlignment="1" applyProtection="1">
      <alignment horizontal="right" vertical="center"/>
      <protection hidden="1"/>
    </xf>
    <xf numFmtId="4" fontId="12" fillId="2" borderId="10" xfId="0" applyNumberFormat="1" applyFont="1" applyFill="1" applyBorder="1" applyAlignment="1" applyProtection="1">
      <alignment horizontal="center" vertical="center"/>
      <protection hidden="1"/>
    </xf>
    <xf numFmtId="177" fontId="13" fillId="2" borderId="0" xfId="0" applyNumberFormat="1" applyFont="1" applyFill="1" applyAlignment="1" applyProtection="1">
      <alignment horizontal="right"/>
      <protection hidden="1"/>
    </xf>
    <xf numFmtId="177" fontId="14" fillId="2" borderId="0" xfId="0" applyNumberFormat="1" applyFont="1" applyFill="1" applyAlignment="1" applyProtection="1">
      <protection locked="0"/>
    </xf>
    <xf numFmtId="177" fontId="13" fillId="2" borderId="0" xfId="0" applyNumberFormat="1" applyFont="1" applyFill="1" applyAlignment="1" applyProtection="1">
      <protection locked="0"/>
    </xf>
    <xf numFmtId="177" fontId="2" fillId="2" borderId="0" xfId="0" applyNumberFormat="1" applyFont="1" applyFill="1" applyAlignment="1" applyProtection="1">
      <protection hidden="1"/>
    </xf>
    <xf numFmtId="39" fontId="15" fillId="2" borderId="0" xfId="0" applyNumberFormat="1" applyFont="1" applyFill="1" applyAlignment="1" applyProtection="1">
      <alignment horizontal="centerContinuous" vertical="center"/>
      <protection hidden="1"/>
    </xf>
    <xf numFmtId="39" fontId="13" fillId="2" borderId="0" xfId="0" applyNumberFormat="1" applyFont="1" applyFill="1" applyAlignment="1" applyProtection="1">
      <alignment horizontal="center" vertical="center"/>
      <protection hidden="1"/>
    </xf>
    <xf numFmtId="39" fontId="13" fillId="2" borderId="0" xfId="0" applyNumberFormat="1" applyFont="1" applyFill="1" applyAlignment="1" applyProtection="1">
      <alignment horizontal="left" vertical="center"/>
      <protection hidden="1"/>
    </xf>
    <xf numFmtId="39" fontId="12" fillId="2" borderId="0" xfId="0" applyNumberFormat="1" applyFont="1" applyFill="1" applyProtection="1">
      <alignment vertical="center"/>
      <protection hidden="1"/>
    </xf>
    <xf numFmtId="39" fontId="12" fillId="2" borderId="0" xfId="0" applyNumberFormat="1" applyFont="1" applyFill="1" applyAlignment="1" applyProtection="1">
      <alignment horizontal="center" vertical="center"/>
      <protection hidden="1"/>
    </xf>
    <xf numFmtId="39" fontId="12" fillId="2" borderId="0" xfId="0" applyNumberFormat="1" applyFont="1" applyFill="1" applyAlignment="1" applyProtection="1">
      <alignment horizontal="right" vertical="center"/>
      <protection hidden="1"/>
    </xf>
    <xf numFmtId="177" fontId="12" fillId="2" borderId="11" xfId="496" applyFont="1" applyFill="1" applyBorder="1" applyAlignment="1" applyProtection="1">
      <alignment horizontal="center" vertical="center"/>
      <protection hidden="1"/>
    </xf>
    <xf numFmtId="177" fontId="12" fillId="2" borderId="12" xfId="496" applyFont="1" applyFill="1" applyBorder="1" applyAlignment="1" applyProtection="1">
      <alignment horizontal="center" vertical="center"/>
      <protection hidden="1"/>
    </xf>
    <xf numFmtId="177" fontId="13" fillId="2" borderId="12" xfId="496" applyFont="1" applyFill="1" applyBorder="1" applyAlignment="1" applyProtection="1">
      <alignment horizontal="center" vertical="center"/>
      <protection hidden="1"/>
    </xf>
    <xf numFmtId="177" fontId="12" fillId="2" borderId="12" xfId="496" applyFont="1" applyFill="1" applyBorder="1" applyAlignment="1" applyProtection="1">
      <alignment horizontal="center" vertical="center" wrapText="1"/>
      <protection hidden="1"/>
    </xf>
    <xf numFmtId="2" fontId="12" fillId="2" borderId="13" xfId="496" applyNumberFormat="1" applyFont="1" applyFill="1" applyBorder="1" applyAlignment="1" applyProtection="1">
      <alignment horizontal="centerContinuous" vertical="center"/>
      <protection hidden="1"/>
    </xf>
    <xf numFmtId="2" fontId="12" fillId="2" borderId="14" xfId="496" applyNumberFormat="1" applyFont="1" applyFill="1" applyBorder="1" applyAlignment="1" applyProtection="1">
      <alignment horizontal="centerContinuous" vertical="center"/>
      <protection hidden="1"/>
    </xf>
    <xf numFmtId="177" fontId="12" fillId="2" borderId="15" xfId="496" applyFont="1" applyFill="1" applyBorder="1" applyAlignment="1" applyProtection="1">
      <alignment horizontal="center" vertical="center"/>
      <protection hidden="1"/>
    </xf>
    <xf numFmtId="177" fontId="12" fillId="2" borderId="3" xfId="496" applyFont="1" applyFill="1" applyBorder="1" applyAlignment="1" applyProtection="1">
      <alignment horizontal="center" vertical="center"/>
      <protection hidden="1"/>
    </xf>
    <xf numFmtId="2" fontId="12" fillId="2" borderId="1" xfId="496" applyNumberFormat="1" applyFont="1" applyFill="1" applyBorder="1" applyAlignment="1" applyProtection="1">
      <alignment horizontal="center" vertical="center"/>
      <protection hidden="1"/>
    </xf>
    <xf numFmtId="177" fontId="12" fillId="2" borderId="16" xfId="496" applyFont="1" applyFill="1" applyBorder="1" applyAlignment="1" applyProtection="1">
      <alignment horizontal="center" vertical="center"/>
      <protection hidden="1"/>
    </xf>
    <xf numFmtId="177" fontId="12" fillId="2" borderId="1" xfId="496" applyFont="1" applyFill="1" applyBorder="1" applyAlignment="1" applyProtection="1">
      <alignment horizontal="center" vertical="center"/>
      <protection hidden="1"/>
    </xf>
    <xf numFmtId="1" fontId="12" fillId="2" borderId="17" xfId="403" applyNumberFormat="1" applyFont="1" applyFill="1" applyBorder="1" applyAlignment="1" applyProtection="1">
      <alignment horizontal="center" vertical="center"/>
      <protection hidden="1"/>
    </xf>
    <xf numFmtId="183" fontId="12" fillId="2" borderId="16" xfId="496" applyNumberFormat="1" applyFont="1" applyFill="1" applyBorder="1" applyAlignment="1" applyProtection="1">
      <alignment horizontal="center" vertical="center"/>
      <protection hidden="1"/>
    </xf>
    <xf numFmtId="183" fontId="13" fillId="2" borderId="1" xfId="496" applyNumberFormat="1" applyFont="1" applyFill="1" applyBorder="1" applyAlignment="1" applyProtection="1">
      <alignment horizontal="left" vertical="center"/>
      <protection hidden="1"/>
    </xf>
    <xf numFmtId="183" fontId="13" fillId="2" borderId="1" xfId="496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/>
      <protection locked="0"/>
    </xf>
    <xf numFmtId="186" fontId="16" fillId="0" borderId="1" xfId="0" applyNumberFormat="1" applyFont="1" applyBorder="1" applyAlignment="1" applyProtection="1">
      <alignment horizontal="center" vertical="center"/>
      <protection locked="0"/>
    </xf>
    <xf numFmtId="4" fontId="12" fillId="2" borderId="1" xfId="496" applyNumberFormat="1" applyFont="1" applyFill="1" applyBorder="1" applyAlignment="1" applyProtection="1">
      <alignment horizontal="right" vertical="center"/>
      <protection hidden="1"/>
    </xf>
    <xf numFmtId="183" fontId="12" fillId="2" borderId="1" xfId="496" applyNumberFormat="1" applyFont="1" applyFill="1" applyBorder="1" applyAlignment="1" applyProtection="1">
      <alignment horizontal="center" vertical="center"/>
      <protection hidden="1"/>
    </xf>
    <xf numFmtId="4" fontId="12" fillId="2" borderId="18" xfId="497" applyNumberFormat="1" applyFont="1" applyFill="1" applyBorder="1" applyAlignment="1" applyProtection="1">
      <alignment horizontal="right" vertical="center"/>
      <protection hidden="1"/>
    </xf>
    <xf numFmtId="39" fontId="12" fillId="2" borderId="0" xfId="0" applyNumberFormat="1" applyFont="1" applyFill="1" applyAlignment="1" applyProtection="1">
      <alignment horizontal="left" vertical="center"/>
      <protection hidden="1"/>
    </xf>
    <xf numFmtId="1" fontId="12" fillId="2" borderId="16" xfId="0" applyNumberFormat="1" applyFont="1" applyFill="1" applyBorder="1" applyAlignment="1" applyProtection="1">
      <alignment horizontal="center" vertical="center"/>
      <protection hidden="1"/>
    </xf>
    <xf numFmtId="177" fontId="13" fillId="2" borderId="1" xfId="496" applyFont="1" applyFill="1" applyBorder="1" applyAlignment="1" applyProtection="1">
      <alignment horizontal="left" vertical="center"/>
      <protection hidden="1"/>
    </xf>
    <xf numFmtId="177" fontId="12" fillId="2" borderId="1" xfId="496" applyFont="1" applyFill="1" applyBorder="1" applyAlignment="1" applyProtection="1">
      <alignment horizontal="left" vertical="center"/>
      <protection hidden="1"/>
    </xf>
    <xf numFmtId="3" fontId="12" fillId="2" borderId="1" xfId="496" applyNumberFormat="1" applyFont="1" applyFill="1" applyBorder="1" applyAlignment="1" applyProtection="1">
      <alignment horizontal="center" vertical="center"/>
      <protection hidden="1"/>
    </xf>
    <xf numFmtId="181" fontId="12" fillId="2" borderId="16" xfId="496" applyNumberFormat="1" applyFont="1" applyFill="1" applyBorder="1" applyAlignment="1" applyProtection="1">
      <alignment horizontal="center" vertical="center"/>
      <protection hidden="1"/>
    </xf>
    <xf numFmtId="1" fontId="12" fillId="2" borderId="19" xfId="0" applyNumberFormat="1" applyFont="1" applyFill="1" applyBorder="1" applyAlignment="1" applyProtection="1">
      <alignment horizontal="center" vertical="center"/>
      <protection hidden="1"/>
    </xf>
    <xf numFmtId="177" fontId="12" fillId="2" borderId="18" xfId="496" applyFont="1" applyFill="1" applyBorder="1" applyAlignment="1" applyProtection="1">
      <alignment horizontal="left" vertical="center"/>
      <protection hidden="1"/>
    </xf>
    <xf numFmtId="39" fontId="12" fillId="2" borderId="18" xfId="0" applyNumberFormat="1" applyFont="1" applyFill="1" applyBorder="1" applyAlignment="1" applyProtection="1">
      <alignment horizontal="center" vertical="center"/>
      <protection hidden="1"/>
    </xf>
    <xf numFmtId="4" fontId="12" fillId="2" borderId="18" xfId="0" applyNumberFormat="1" applyFont="1" applyFill="1" applyBorder="1" applyAlignment="1" applyProtection="1">
      <alignment horizontal="right" vertical="center"/>
      <protection hidden="1"/>
    </xf>
    <xf numFmtId="0" fontId="9" fillId="2" borderId="0" xfId="0" applyFont="1" applyFill="1" applyAlignment="1" applyProtection="1">
      <alignment horizontal="right" vertical="center"/>
      <protection locked="0"/>
    </xf>
    <xf numFmtId="2" fontId="12" fillId="2" borderId="20" xfId="496" applyNumberFormat="1" applyFont="1" applyFill="1" applyBorder="1" applyAlignment="1" applyProtection="1">
      <alignment horizontal="centerContinuous" vertical="center"/>
      <protection hidden="1"/>
    </xf>
    <xf numFmtId="177" fontId="12" fillId="2" borderId="21" xfId="496" applyFont="1" applyFill="1" applyBorder="1" applyAlignment="1" applyProtection="1">
      <alignment horizontal="center" vertical="center"/>
      <protection hidden="1"/>
    </xf>
    <xf numFmtId="177" fontId="12" fillId="2" borderId="22" xfId="496" applyFont="1" applyFill="1" applyBorder="1" applyAlignment="1" applyProtection="1">
      <alignment horizontal="center" vertical="center"/>
      <protection hidden="1"/>
    </xf>
    <xf numFmtId="1" fontId="17" fillId="2" borderId="17" xfId="403" applyNumberFormat="1" applyFont="1" applyFill="1" applyBorder="1" applyAlignment="1" applyProtection="1">
      <alignment horizontal="center" vertical="center"/>
      <protection hidden="1"/>
    </xf>
    <xf numFmtId="1" fontId="12" fillId="2" borderId="23" xfId="403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protection hidden="1"/>
    </xf>
    <xf numFmtId="0" fontId="14" fillId="2" borderId="0" xfId="0" applyFont="1" applyFill="1" applyAlignment="1" applyProtection="1">
      <protection locked="0"/>
    </xf>
    <xf numFmtId="0" fontId="13" fillId="2" borderId="0" xfId="0" applyFont="1" applyFill="1" applyAlignment="1" applyProtection="1">
      <protection hidden="1"/>
    </xf>
    <xf numFmtId="0" fontId="13" fillId="2" borderId="0" xfId="0" applyFont="1" applyFill="1" applyAlignment="1" applyProtection="1">
      <protection locked="0"/>
    </xf>
    <xf numFmtId="183" fontId="12" fillId="2" borderId="7" xfId="0" applyNumberFormat="1" applyFont="1" applyFill="1" applyBorder="1" applyAlignment="1" applyProtection="1">
      <alignment horizontal="center" vertical="center"/>
      <protection hidden="1"/>
    </xf>
    <xf numFmtId="177" fontId="2" fillId="0" borderId="0" xfId="0" applyNumberFormat="1" applyFont="1" applyFill="1" applyBorder="1" applyAlignment="1" applyProtection="1">
      <protection locked="0"/>
    </xf>
    <xf numFmtId="181" fontId="2" fillId="2" borderId="0" xfId="0" applyNumberFormat="1" applyFont="1" applyFill="1" applyAlignment="1" applyProtection="1">
      <protection locked="0"/>
    </xf>
    <xf numFmtId="177" fontId="12" fillId="2" borderId="2" xfId="496" applyFont="1" applyFill="1" applyBorder="1" applyAlignment="1" applyProtection="1">
      <alignment horizontal="center" vertical="center"/>
      <protection hidden="1"/>
    </xf>
    <xf numFmtId="177" fontId="13" fillId="2" borderId="2" xfId="496" applyFont="1" applyFill="1" applyBorder="1" applyAlignment="1" applyProtection="1">
      <alignment horizontal="center" vertical="center"/>
      <protection hidden="1"/>
    </xf>
    <xf numFmtId="177" fontId="13" fillId="2" borderId="2" xfId="496" applyFont="1" applyFill="1" applyBorder="1" applyAlignment="1" applyProtection="1">
      <alignment horizontal="center" vertical="center" wrapText="1"/>
      <protection hidden="1"/>
    </xf>
    <xf numFmtId="2" fontId="13" fillId="2" borderId="24" xfId="496" applyNumberFormat="1" applyFont="1" applyFill="1" applyBorder="1" applyAlignment="1" applyProtection="1">
      <alignment horizontal="center" vertical="center"/>
      <protection hidden="1"/>
    </xf>
    <xf numFmtId="2" fontId="12" fillId="2" borderId="6" xfId="496" applyNumberFormat="1" applyFont="1" applyFill="1" applyBorder="1" applyAlignment="1" applyProtection="1">
      <alignment horizontal="center" vertical="center"/>
      <protection hidden="1"/>
    </xf>
    <xf numFmtId="181" fontId="12" fillId="2" borderId="25" xfId="496" applyNumberFormat="1" applyFont="1" applyFill="1" applyBorder="1" applyAlignment="1" applyProtection="1">
      <alignment horizontal="center" vertical="center"/>
      <protection hidden="1"/>
    </xf>
    <xf numFmtId="177" fontId="13" fillId="2" borderId="3" xfId="496" applyFont="1" applyFill="1" applyBorder="1" applyAlignment="1" applyProtection="1">
      <alignment horizontal="center" vertical="center"/>
      <protection hidden="1"/>
    </xf>
    <xf numFmtId="177" fontId="13" fillId="2" borderId="3" xfId="496" applyFont="1" applyFill="1" applyBorder="1" applyAlignment="1" applyProtection="1">
      <alignment horizontal="center" vertical="center" wrapText="1"/>
      <protection hidden="1"/>
    </xf>
    <xf numFmtId="177" fontId="13" fillId="2" borderId="1" xfId="496" applyFont="1" applyFill="1" applyBorder="1" applyAlignment="1" applyProtection="1">
      <alignment horizontal="center" vertical="center"/>
      <protection hidden="1"/>
    </xf>
    <xf numFmtId="2" fontId="13" fillId="2" borderId="1" xfId="496" applyNumberFormat="1" applyFont="1" applyFill="1" applyBorder="1" applyAlignment="1" applyProtection="1">
      <alignment horizontal="center" vertical="center"/>
      <protection hidden="1"/>
    </xf>
    <xf numFmtId="181" fontId="13" fillId="2" borderId="1" xfId="496" applyNumberFormat="1" applyFont="1" applyFill="1" applyBorder="1" applyAlignment="1" applyProtection="1">
      <alignment horizontal="center" vertical="center"/>
      <protection hidden="1"/>
    </xf>
    <xf numFmtId="183" fontId="4" fillId="2" borderId="1" xfId="496" applyNumberFormat="1" applyFont="1" applyFill="1" applyBorder="1" applyAlignment="1" applyProtection="1">
      <alignment horizontal="left" vertical="center" wrapText="1"/>
      <protection hidden="1"/>
    </xf>
    <xf numFmtId="186" fontId="4" fillId="2" borderId="1" xfId="496" applyNumberFormat="1" applyFont="1" applyFill="1" applyBorder="1" applyAlignment="1" applyProtection="1">
      <alignment horizontal="center" vertical="center"/>
      <protection hidden="1"/>
    </xf>
    <xf numFmtId="1" fontId="12" fillId="2" borderId="4" xfId="0" applyNumberFormat="1" applyFont="1" applyFill="1" applyBorder="1" applyAlignment="1" applyProtection="1">
      <alignment horizontal="center" vertical="center"/>
      <protection hidden="1"/>
    </xf>
    <xf numFmtId="177" fontId="12" fillId="2" borderId="0" xfId="0" applyNumberFormat="1" applyFont="1" applyFill="1" applyAlignment="1" applyProtection="1">
      <alignment horizontal="center"/>
      <protection hidden="1"/>
    </xf>
    <xf numFmtId="181" fontId="12" fillId="2" borderId="0" xfId="0" applyNumberFormat="1" applyFont="1" applyFill="1" applyAlignment="1" applyProtection="1">
      <alignment horizontal="center"/>
      <protection hidden="1"/>
    </xf>
    <xf numFmtId="183" fontId="2" fillId="2" borderId="0" xfId="0" applyNumberFormat="1" applyFont="1" applyFill="1" applyAlignment="1" applyProtection="1">
      <protection locked="0"/>
    </xf>
    <xf numFmtId="2" fontId="13" fillId="2" borderId="2" xfId="496" applyNumberFormat="1" applyFont="1" applyFill="1" applyBorder="1" applyAlignment="1" applyProtection="1">
      <alignment horizontal="center" vertical="center"/>
      <protection hidden="1"/>
    </xf>
    <xf numFmtId="181" fontId="13" fillId="2" borderId="2" xfId="496" applyNumberFormat="1" applyFont="1" applyFill="1" applyBorder="1" applyAlignment="1" applyProtection="1">
      <alignment horizontal="center" vertical="center"/>
      <protection hidden="1"/>
    </xf>
    <xf numFmtId="2" fontId="12" fillId="2" borderId="3" xfId="496" applyNumberFormat="1" applyFont="1" applyFill="1" applyBorder="1" applyAlignment="1" applyProtection="1">
      <alignment horizontal="center" vertical="center"/>
      <protection hidden="1"/>
    </xf>
    <xf numFmtId="181" fontId="12" fillId="2" borderId="3" xfId="496" applyNumberFormat="1" applyFont="1" applyFill="1" applyBorder="1" applyAlignment="1" applyProtection="1">
      <alignment horizontal="center" vertical="center"/>
      <protection hidden="1"/>
    </xf>
    <xf numFmtId="177" fontId="13" fillId="2" borderId="0" xfId="0" applyNumberFormat="1" applyFont="1" applyFill="1" applyAlignment="1" applyProtection="1">
      <alignment horizontal="center"/>
      <protection hidden="1"/>
    </xf>
    <xf numFmtId="181" fontId="13" fillId="2" borderId="0" xfId="0" applyNumberFormat="1" applyFont="1" applyFill="1" applyAlignment="1" applyProtection="1">
      <alignment horizontal="center"/>
      <protection hidden="1"/>
    </xf>
    <xf numFmtId="39" fontId="3" fillId="3" borderId="0" xfId="0" applyNumberFormat="1" applyFont="1" applyFill="1" applyBorder="1" applyAlignment="1" applyProtection="1">
      <alignment vertical="center"/>
      <protection hidden="1"/>
    </xf>
    <xf numFmtId="181" fontId="3" fillId="3" borderId="0" xfId="0" applyNumberFormat="1" applyFont="1" applyFill="1" applyBorder="1" applyAlignment="1" applyProtection="1">
      <alignment horizontal="center" vertical="center"/>
      <protection hidden="1"/>
    </xf>
    <xf numFmtId="39" fontId="3" fillId="3" borderId="0" xfId="0" applyNumberFormat="1" applyFont="1" applyFill="1" applyBorder="1" applyAlignment="1" applyProtection="1">
      <alignment horizontal="left" vertical="center"/>
      <protection hidden="1"/>
    </xf>
    <xf numFmtId="39" fontId="10" fillId="3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Fill="1" applyBorder="1" applyAlignment="1" applyProtection="1">
      <protection locked="0"/>
    </xf>
    <xf numFmtId="177" fontId="14" fillId="2" borderId="0" xfId="0" applyNumberFormat="1" applyFont="1" applyFill="1" applyAlignment="1" applyProtection="1">
      <alignment horizontal="center"/>
      <protection hidden="1"/>
    </xf>
    <xf numFmtId="39" fontId="15" fillId="2" borderId="0" xfId="0" applyNumberFormat="1" applyFont="1" applyFill="1" applyAlignment="1" applyProtection="1">
      <alignment horizontal="center" vertical="center"/>
      <protection hidden="1"/>
    </xf>
    <xf numFmtId="39" fontId="12" fillId="2" borderId="0" xfId="0" applyNumberFormat="1" applyFont="1" applyFill="1" applyAlignment="1" applyProtection="1">
      <alignment vertical="center"/>
      <protection hidden="1"/>
    </xf>
    <xf numFmtId="39" fontId="13" fillId="2" borderId="0" xfId="0" applyNumberFormat="1" applyFont="1" applyFill="1" applyAlignment="1" applyProtection="1">
      <alignment vertical="center"/>
      <protection hidden="1"/>
    </xf>
    <xf numFmtId="177" fontId="13" fillId="2" borderId="12" xfId="496" applyFont="1" applyFill="1" applyBorder="1" applyAlignment="1" applyProtection="1">
      <alignment horizontal="center" vertical="center" wrapText="1"/>
      <protection hidden="1"/>
    </xf>
    <xf numFmtId="2" fontId="12" fillId="2" borderId="13" xfId="496" applyNumberFormat="1" applyFont="1" applyFill="1" applyBorder="1" applyAlignment="1" applyProtection="1">
      <alignment horizontal="center" vertical="center"/>
      <protection hidden="1"/>
    </xf>
    <xf numFmtId="2" fontId="12" fillId="2" borderId="14" xfId="496" applyNumberFormat="1" applyFont="1" applyFill="1" applyBorder="1" applyAlignment="1" applyProtection="1">
      <alignment horizontal="center" vertical="center"/>
      <protection hidden="1"/>
    </xf>
    <xf numFmtId="183" fontId="18" fillId="2" borderId="1" xfId="496" applyNumberFormat="1" applyFont="1" applyFill="1" applyBorder="1" applyAlignment="1" applyProtection="1">
      <alignment horizontal="center" vertical="center"/>
      <protection hidden="1"/>
    </xf>
    <xf numFmtId="183" fontId="18" fillId="2" borderId="1" xfId="496" applyNumberFormat="1" applyFont="1" applyFill="1" applyBorder="1" applyAlignment="1" applyProtection="1">
      <alignment horizontal="center" vertical="center" wrapText="1"/>
      <protection hidden="1"/>
    </xf>
    <xf numFmtId="186" fontId="19" fillId="2" borderId="1" xfId="496" applyNumberFormat="1" applyFont="1" applyFill="1" applyBorder="1" applyAlignment="1" applyProtection="1">
      <alignment horizontal="center" vertical="center"/>
      <protection hidden="1"/>
    </xf>
    <xf numFmtId="2" fontId="12" fillId="2" borderId="20" xfId="496" applyNumberFormat="1" applyFont="1" applyFill="1" applyBorder="1" applyAlignment="1" applyProtection="1">
      <alignment horizontal="center" vertical="center"/>
      <protection hidden="1"/>
    </xf>
    <xf numFmtId="1" fontId="12" fillId="2" borderId="7" xfId="403" applyNumberFormat="1" applyFont="1" applyFill="1" applyBorder="1" applyAlignment="1" applyProtection="1">
      <alignment horizontal="center" vertical="center"/>
      <protection hidden="1"/>
    </xf>
    <xf numFmtId="177" fontId="4" fillId="0" borderId="0" xfId="0" applyNumberFormat="1" applyFont="1" applyFill="1" applyAlignment="1" applyProtection="1"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82" fontId="16" fillId="0" borderId="0" xfId="0" applyNumberFormat="1" applyFont="1" applyProtection="1">
      <alignment vertical="center"/>
      <protection locked="0"/>
    </xf>
    <xf numFmtId="181" fontId="16" fillId="0" borderId="0" xfId="0" applyNumberFormat="1" applyFont="1" applyProtection="1">
      <alignment vertical="center"/>
      <protection locked="0"/>
    </xf>
    <xf numFmtId="2" fontId="3" fillId="0" borderId="0" xfId="634" applyNumberFormat="1" applyFont="1" applyAlignment="1" applyProtection="1">
      <alignment horizontal="center" vertical="center"/>
      <protection hidden="1"/>
    </xf>
    <xf numFmtId="2" fontId="4" fillId="0" borderId="0" xfId="634" applyNumberFormat="1" applyFont="1" applyAlignment="1" applyProtection="1">
      <alignment horizontal="left"/>
      <protection hidden="1"/>
    </xf>
    <xf numFmtId="0" fontId="4" fillId="2" borderId="1" xfId="385" applyNumberFormat="1" applyFont="1" applyFill="1" applyBorder="1" applyAlignment="1">
      <alignment horizontal="center" vertical="center"/>
    </xf>
    <xf numFmtId="0" fontId="4" fillId="2" borderId="1" xfId="385" applyFont="1" applyFill="1" applyBorder="1" applyAlignment="1">
      <alignment horizontal="center" vertical="center"/>
    </xf>
    <xf numFmtId="0" fontId="4" fillId="2" borderId="1" xfId="385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4" fillId="0" borderId="1" xfId="61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81" fontId="3" fillId="0" borderId="0" xfId="634" applyNumberFormat="1" applyFont="1" applyAlignment="1" applyProtection="1">
      <alignment horizontal="center" vertical="center"/>
      <protection hidden="1"/>
    </xf>
    <xf numFmtId="2" fontId="4" fillId="0" borderId="0" xfId="634" applyNumberFormat="1" applyFont="1" applyAlignment="1" applyProtection="1">
      <alignment horizontal="center" vertical="center"/>
      <protection hidden="1"/>
    </xf>
    <xf numFmtId="181" fontId="4" fillId="0" borderId="0" xfId="634" applyNumberFormat="1" applyFont="1" applyAlignment="1" applyProtection="1">
      <alignment horizontal="center" vertical="center"/>
      <protection hidden="1"/>
    </xf>
    <xf numFmtId="181" fontId="4" fillId="2" borderId="1" xfId="385" applyNumberFormat="1" applyFont="1" applyFill="1" applyBorder="1" applyAlignment="1">
      <alignment horizontal="center" vertical="center"/>
    </xf>
    <xf numFmtId="181" fontId="4" fillId="2" borderId="1" xfId="385" applyNumberFormat="1" applyFont="1" applyFill="1" applyBorder="1" applyAlignment="1">
      <alignment horizontal="center" vertical="center" wrapText="1"/>
    </xf>
    <xf numFmtId="181" fontId="9" fillId="0" borderId="0" xfId="0" applyNumberFormat="1" applyFont="1" applyAlignment="1" applyProtection="1">
      <alignment horizontal="right" vertical="center"/>
      <protection locked="0"/>
    </xf>
    <xf numFmtId="181" fontId="3" fillId="0" borderId="0" xfId="634" applyNumberFormat="1" applyFont="1" applyFill="1" applyBorder="1" applyAlignment="1" applyProtection="1">
      <alignment horizontal="center" vertical="center"/>
      <protection hidden="1"/>
    </xf>
    <xf numFmtId="177" fontId="2" fillId="0" borderId="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>
      <alignment horizontal="right"/>
    </xf>
    <xf numFmtId="181" fontId="1" fillId="2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181" fontId="4" fillId="0" borderId="1" xfId="0" applyNumberFormat="1" applyFont="1" applyFill="1" applyBorder="1" applyAlignment="1">
      <alignment horizontal="center" vertical="center"/>
    </xf>
    <xf numFmtId="0" fontId="4" fillId="2" borderId="25" xfId="385" applyNumberFormat="1" applyFont="1" applyFill="1" applyBorder="1" applyAlignment="1">
      <alignment horizontal="center" vertical="center"/>
    </xf>
    <xf numFmtId="0" fontId="16" fillId="2" borderId="0" xfId="0" applyFont="1" applyFill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1" fillId="2" borderId="0" xfId="401" applyFont="1" applyFill="1" applyAlignment="1" applyProtection="1">
      <alignment horizontal="center" vertical="center"/>
      <protection locked="0"/>
    </xf>
    <xf numFmtId="0" fontId="9" fillId="2" borderId="0" xfId="0" applyFont="1" applyFill="1" applyProtection="1">
      <alignment vertical="center"/>
      <protection locked="0"/>
    </xf>
    <xf numFmtId="182" fontId="16" fillId="2" borderId="0" xfId="0" applyNumberFormat="1" applyFont="1" applyFill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182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82" fontId="16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3" fillId="0" borderId="1" xfId="61" applyFont="1" applyBorder="1" applyAlignment="1" applyProtection="1">
      <alignment horizontal="center" vertical="center" wrapText="1"/>
      <protection locked="0"/>
    </xf>
    <xf numFmtId="0" fontId="22" fillId="0" borderId="1" xfId="6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13" fillId="0" borderId="1" xfId="61" applyNumberFormat="1" applyFont="1" applyBorder="1" applyAlignment="1" applyProtection="1">
      <alignment horizontal="left" vertical="center"/>
      <protection locked="0"/>
    </xf>
    <xf numFmtId="186" fontId="16" fillId="0" borderId="1" xfId="0" applyNumberFormat="1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/>
    <xf numFmtId="177" fontId="4" fillId="0" borderId="0" xfId="0" applyNumberFormat="1" applyFont="1" applyFill="1" applyAlignment="1"/>
    <xf numFmtId="0" fontId="4" fillId="0" borderId="1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protection hidden="1"/>
    </xf>
    <xf numFmtId="0" fontId="4" fillId="2" borderId="26" xfId="385" applyNumberFormat="1" applyFont="1" applyFill="1" applyBorder="1" applyAlignment="1">
      <alignment horizontal="center" vertical="center"/>
    </xf>
    <xf numFmtId="0" fontId="4" fillId="2" borderId="27" xfId="385" applyNumberFormat="1" applyFont="1" applyFill="1" applyBorder="1" applyAlignment="1">
      <alignment horizontal="center" vertical="center"/>
    </xf>
    <xf numFmtId="0" fontId="4" fillId="2" borderId="28" xfId="385" applyNumberFormat="1" applyFont="1" applyFill="1" applyBorder="1" applyAlignment="1">
      <alignment horizontal="center" vertical="center"/>
    </xf>
    <xf numFmtId="0" fontId="16" fillId="0" borderId="28" xfId="0" applyFont="1" applyBorder="1" applyProtection="1">
      <alignment vertical="center"/>
      <protection locked="0"/>
    </xf>
    <xf numFmtId="0" fontId="16" fillId="0" borderId="25" xfId="0" applyFont="1" applyBorder="1" applyProtection="1">
      <alignment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23" fillId="0" borderId="0" xfId="0" applyFo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/>
      <protection locked="0"/>
    </xf>
    <xf numFmtId="182" fontId="5" fillId="2" borderId="0" xfId="0" applyNumberFormat="1" applyFont="1" applyFill="1" applyProtection="1">
      <alignment vertical="center"/>
      <protection locked="0"/>
    </xf>
    <xf numFmtId="0" fontId="4" fillId="2" borderId="2" xfId="385" applyNumberFormat="1" applyFont="1" applyFill="1" applyBorder="1" applyAlignment="1">
      <alignment horizontal="center" vertical="center"/>
    </xf>
    <xf numFmtId="0" fontId="4" fillId="0" borderId="29" xfId="385" applyNumberFormat="1" applyFont="1" applyFill="1" applyBorder="1" applyAlignment="1">
      <alignment horizontal="center" vertical="center"/>
    </xf>
    <xf numFmtId="0" fontId="4" fillId="0" borderId="1" xfId="385" applyNumberFormat="1" applyFont="1" applyFill="1" applyBorder="1" applyAlignment="1">
      <alignment horizontal="center" vertical="center"/>
    </xf>
    <xf numFmtId="0" fontId="4" fillId="0" borderId="2" xfId="38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82" fontId="5" fillId="0" borderId="1" xfId="0" applyNumberFormat="1" applyFont="1" applyFill="1" applyBorder="1" applyAlignment="1" applyProtection="1">
      <alignment horizontal="center" vertical="center"/>
      <protection locked="0"/>
    </xf>
    <xf numFmtId="18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alignment vertical="center"/>
      <protection locked="0"/>
    </xf>
    <xf numFmtId="182" fontId="5" fillId="0" borderId="3" xfId="0" applyNumberFormat="1" applyFont="1" applyBorder="1" applyProtection="1">
      <alignment vertical="center"/>
      <protection locked="0"/>
    </xf>
    <xf numFmtId="186" fontId="5" fillId="0" borderId="3" xfId="0" applyNumberFormat="1" applyFont="1" applyBorder="1" applyAlignment="1" applyProtection="1">
      <alignment horizontal="center" vertical="center"/>
      <protection locked="0"/>
    </xf>
    <xf numFmtId="18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177" fontId="4" fillId="0" borderId="2" xfId="0" applyNumberFormat="1" applyFont="1" applyFill="1" applyBorder="1" applyAlignment="1" applyProtection="1">
      <alignment horizontal="center" vertical="center"/>
      <protection hidden="1"/>
    </xf>
    <xf numFmtId="186" fontId="5" fillId="0" borderId="3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left" vertical="center"/>
      <protection hidden="1"/>
    </xf>
    <xf numFmtId="177" fontId="4" fillId="0" borderId="0" xfId="0" applyNumberFormat="1" applyFont="1" applyFill="1" applyBorder="1" applyAlignment="1" applyProtection="1">
      <alignment horizontal="left"/>
      <protection hidden="1"/>
    </xf>
    <xf numFmtId="0" fontId="1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protection locked="0"/>
    </xf>
    <xf numFmtId="0" fontId="24" fillId="0" borderId="0" xfId="0" applyNumberFormat="1" applyFont="1" applyFill="1" applyBorder="1" applyAlignment="1"/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2" borderId="0" xfId="40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/>
    </xf>
    <xf numFmtId="0" fontId="4" fillId="0" borderId="1" xfId="400" applyFont="1" applyBorder="1" applyAlignment="1" applyProtection="1">
      <alignment horizontal="left" vertical="center"/>
      <protection locked="0"/>
    </xf>
    <xf numFmtId="181" fontId="4" fillId="0" borderId="1" xfId="400" applyNumberFormat="1" applyFont="1" applyBorder="1" applyAlignment="1" applyProtection="1">
      <alignment horizontal="center" vertical="center"/>
      <protection locked="0"/>
    </xf>
    <xf numFmtId="184" fontId="4" fillId="0" borderId="1" xfId="61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Protection="1">
      <alignment vertical="center"/>
      <protection locked="0"/>
    </xf>
    <xf numFmtId="182" fontId="5" fillId="0" borderId="1" xfId="0" applyNumberFormat="1" applyFont="1" applyBorder="1" applyProtection="1">
      <alignment vertical="center"/>
      <protection locked="0"/>
    </xf>
    <xf numFmtId="0" fontId="4" fillId="0" borderId="1" xfId="400" applyFont="1" applyBorder="1" applyAlignment="1" applyProtection="1">
      <alignment vertical="center" wrapText="1"/>
      <protection locked="0"/>
    </xf>
    <xf numFmtId="187" fontId="12" fillId="0" borderId="0" xfId="400" applyNumberFormat="1" applyFont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82" fontId="20" fillId="0" borderId="1" xfId="0" applyNumberFormat="1" applyFont="1" applyBorder="1" applyAlignment="1" applyProtection="1">
      <alignment horizontal="center" vertical="center"/>
      <protection locked="0"/>
    </xf>
    <xf numFmtId="182" fontId="16" fillId="0" borderId="1" xfId="0" applyNumberFormat="1" applyFont="1" applyBorder="1" applyProtection="1">
      <alignment vertical="center"/>
      <protection locked="0"/>
    </xf>
    <xf numFmtId="0" fontId="13" fillId="0" borderId="1" xfId="400" applyFont="1" applyBorder="1" applyAlignment="1" applyProtection="1">
      <alignment horizontal="center" vertical="center"/>
      <protection locked="0"/>
    </xf>
    <xf numFmtId="0" fontId="13" fillId="0" borderId="25" xfId="6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27" fillId="0" borderId="1" xfId="400" applyFont="1" applyBorder="1" applyAlignment="1" applyProtection="1">
      <alignment horizontal="left" vertical="center"/>
      <protection locked="0"/>
    </xf>
    <xf numFmtId="187" fontId="12" fillId="0" borderId="1" xfId="400" applyNumberFormat="1" applyFont="1" applyBorder="1" applyAlignment="1" applyProtection="1">
      <alignment horizontal="right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187" fontId="16" fillId="0" borderId="1" xfId="0" applyNumberFormat="1" applyFont="1" applyBorder="1" applyProtection="1">
      <alignment vertical="center"/>
      <protection locked="0"/>
    </xf>
    <xf numFmtId="184" fontId="12" fillId="0" borderId="1" xfId="61" applyNumberFormat="1" applyFont="1" applyBorder="1" applyAlignment="1" applyProtection="1">
      <alignment horizontal="center" vertical="center" wrapText="1"/>
      <protection locked="0"/>
    </xf>
    <xf numFmtId="186" fontId="16" fillId="0" borderId="1" xfId="0" applyNumberFormat="1" applyFont="1" applyBorder="1" applyAlignment="1" applyProtection="1">
      <alignment horizontal="right" vertical="center"/>
      <protection locked="0"/>
    </xf>
    <xf numFmtId="0" fontId="12" fillId="0" borderId="2" xfId="400" applyFont="1" applyBorder="1" applyAlignment="1" applyProtection="1">
      <alignment horizontal="left" vertical="center" wrapText="1"/>
      <protection locked="0"/>
    </xf>
    <xf numFmtId="0" fontId="12" fillId="0" borderId="29" xfId="400" applyFont="1" applyBorder="1" applyAlignment="1" applyProtection="1">
      <alignment horizontal="left" vertical="center" wrapText="1"/>
      <protection locked="0"/>
    </xf>
    <xf numFmtId="0" fontId="12" fillId="0" borderId="25" xfId="400" applyFont="1" applyBorder="1" applyAlignment="1" applyProtection="1">
      <alignment horizontal="left" vertical="center"/>
      <protection locked="0"/>
    </xf>
    <xf numFmtId="0" fontId="12" fillId="0" borderId="3" xfId="400" applyFont="1" applyBorder="1" applyAlignment="1" applyProtection="1">
      <alignment horizontal="left" vertical="center" wrapText="1"/>
      <protection locked="0"/>
    </xf>
    <xf numFmtId="0" fontId="9" fillId="0" borderId="0" xfId="0" applyFont="1" applyProtection="1">
      <alignment vertical="center"/>
      <protection locked="0"/>
    </xf>
    <xf numFmtId="187" fontId="16" fillId="0" borderId="0" xfId="0" applyNumberFormat="1" applyFont="1" applyProtection="1">
      <alignment vertical="center"/>
      <protection locked="0"/>
    </xf>
    <xf numFmtId="0" fontId="1" fillId="0" borderId="0" xfId="0" applyFont="1" applyAlignment="1"/>
    <xf numFmtId="177" fontId="3" fillId="0" borderId="0" xfId="495" applyNumberFormat="1" applyFont="1" applyFill="1" applyBorder="1" applyAlignment="1" applyProtection="1">
      <alignment horizontal="center" vertical="center"/>
      <protection hidden="1"/>
    </xf>
    <xf numFmtId="39" fontId="4" fillId="0" borderId="0" xfId="403" applyNumberFormat="1" applyFont="1" applyAlignment="1" applyProtection="1">
      <alignment horizontal="left"/>
      <protection hidden="1"/>
    </xf>
    <xf numFmtId="39" fontId="28" fillId="0" borderId="0" xfId="403" applyNumberFormat="1" applyFont="1" applyAlignment="1" applyProtection="1">
      <alignment horizontal="left"/>
      <protection hidden="1"/>
    </xf>
    <xf numFmtId="39" fontId="28" fillId="0" borderId="0" xfId="403" applyNumberFormat="1" applyFont="1" applyAlignment="1" applyProtection="1">
      <alignment horizontal="center"/>
      <protection hidden="1"/>
    </xf>
    <xf numFmtId="39" fontId="4" fillId="3" borderId="2" xfId="403" applyNumberFormat="1" applyFont="1" applyFill="1" applyBorder="1" applyAlignment="1" applyProtection="1">
      <alignment horizontal="center" vertical="center" wrapText="1"/>
      <protection hidden="1"/>
    </xf>
    <xf numFmtId="177" fontId="4" fillId="0" borderId="2" xfId="495" applyFont="1" applyBorder="1" applyAlignment="1" applyProtection="1">
      <alignment horizontal="center" vertical="center"/>
      <protection hidden="1"/>
    </xf>
    <xf numFmtId="39" fontId="4" fillId="0" borderId="1" xfId="403" applyNumberFormat="1" applyFont="1" applyBorder="1" applyAlignment="1" applyProtection="1">
      <alignment horizontal="left" vertical="center"/>
      <protection hidden="1"/>
    </xf>
    <xf numFmtId="39" fontId="4" fillId="0" borderId="1" xfId="403" applyNumberFormat="1" applyFont="1" applyBorder="1" applyAlignment="1" applyProtection="1">
      <alignment horizontal="center" vertical="center"/>
      <protection hidden="1"/>
    </xf>
    <xf numFmtId="39" fontId="4" fillId="3" borderId="29" xfId="403" applyNumberFormat="1" applyFont="1" applyFill="1" applyBorder="1" applyAlignment="1" applyProtection="1">
      <alignment horizontal="center" vertical="center" wrapText="1"/>
      <protection hidden="1"/>
    </xf>
    <xf numFmtId="177" fontId="4" fillId="0" borderId="29" xfId="495" applyFont="1" applyBorder="1" applyAlignment="1" applyProtection="1">
      <alignment horizontal="center" vertical="center"/>
      <protection hidden="1"/>
    </xf>
    <xf numFmtId="39" fontId="4" fillId="3" borderId="1" xfId="403" applyNumberFormat="1" applyFont="1" applyFill="1" applyBorder="1" applyAlignment="1" applyProtection="1">
      <alignment horizontal="center" vertical="center" wrapText="1"/>
      <protection hidden="1"/>
    </xf>
    <xf numFmtId="39" fontId="4" fillId="0" borderId="2" xfId="403" applyNumberFormat="1" applyFont="1" applyBorder="1" applyAlignment="1" applyProtection="1">
      <alignment horizontal="center" vertical="center" wrapText="1"/>
      <protection hidden="1"/>
    </xf>
    <xf numFmtId="177" fontId="4" fillId="0" borderId="2" xfId="495" applyFont="1" applyBorder="1" applyAlignment="1" applyProtection="1">
      <alignment horizontal="center" vertical="center" wrapText="1"/>
      <protection hidden="1"/>
    </xf>
    <xf numFmtId="39" fontId="4" fillId="3" borderId="3" xfId="403" applyNumberFormat="1" applyFont="1" applyFill="1" applyBorder="1" applyAlignment="1" applyProtection="1">
      <alignment horizontal="center" vertical="center" wrapText="1"/>
      <protection hidden="1"/>
    </xf>
    <xf numFmtId="177" fontId="4" fillId="0" borderId="3" xfId="495" applyFont="1" applyBorder="1" applyAlignment="1" applyProtection="1">
      <alignment horizontal="center" vertical="center"/>
      <protection hidden="1"/>
    </xf>
    <xf numFmtId="177" fontId="4" fillId="0" borderId="1" xfId="495" applyFont="1" applyBorder="1" applyAlignment="1" applyProtection="1">
      <alignment horizontal="centerContinuous" vertical="center"/>
      <protection hidden="1"/>
    </xf>
    <xf numFmtId="39" fontId="4" fillId="0" borderId="3" xfId="403" applyNumberFormat="1" applyFont="1" applyBorder="1" applyAlignment="1" applyProtection="1">
      <alignment horizontal="center" vertical="center" wrapText="1"/>
      <protection hidden="1"/>
    </xf>
    <xf numFmtId="177" fontId="4" fillId="0" borderId="3" xfId="495" applyFont="1" applyBorder="1" applyAlignment="1" applyProtection="1">
      <alignment horizontal="center" vertical="center" wrapText="1"/>
      <protection hidden="1"/>
    </xf>
    <xf numFmtId="1" fontId="4" fillId="0" borderId="1" xfId="403" applyNumberFormat="1" applyFont="1" applyBorder="1" applyAlignment="1" applyProtection="1">
      <alignment horizontal="center" vertical="center"/>
      <protection hidden="1"/>
    </xf>
    <xf numFmtId="177" fontId="4" fillId="0" borderId="1" xfId="495" applyFont="1" applyBorder="1" applyAlignment="1" applyProtection="1">
      <alignment vertical="center"/>
      <protection hidden="1"/>
    </xf>
    <xf numFmtId="177" fontId="4" fillId="0" borderId="1" xfId="495" applyFont="1" applyBorder="1" applyAlignment="1" applyProtection="1">
      <alignment horizontal="left" vertical="center"/>
      <protection hidden="1"/>
    </xf>
    <xf numFmtId="1" fontId="4" fillId="0" borderId="1" xfId="495" applyNumberFormat="1" applyFont="1" applyBorder="1" applyAlignment="1" applyProtection="1">
      <alignment horizontal="right" vertical="center"/>
      <protection hidden="1"/>
    </xf>
    <xf numFmtId="181" fontId="4" fillId="0" borderId="1" xfId="497" applyNumberFormat="1" applyFont="1" applyBorder="1" applyAlignment="1" applyProtection="1">
      <alignment horizontal="center" vertical="center"/>
      <protection hidden="1"/>
    </xf>
    <xf numFmtId="183" fontId="4" fillId="0" borderId="1" xfId="497" applyNumberFormat="1" applyFont="1" applyBorder="1" applyAlignment="1" applyProtection="1">
      <alignment horizontal="right" vertical="center"/>
      <protection hidden="1"/>
    </xf>
    <xf numFmtId="1" fontId="4" fillId="0" borderId="1" xfId="403" applyNumberFormat="1" applyFont="1" applyBorder="1" applyAlignment="1" applyProtection="1">
      <alignment horizontal="left" vertical="center"/>
      <protection hidden="1"/>
    </xf>
    <xf numFmtId="181" fontId="4" fillId="0" borderId="1" xfId="403" applyNumberFormat="1" applyFont="1" applyBorder="1" applyAlignment="1" applyProtection="1">
      <alignment horizontal="center" vertical="center"/>
      <protection hidden="1"/>
    </xf>
    <xf numFmtId="1" fontId="12" fillId="0" borderId="31" xfId="403" applyNumberFormat="1" applyFont="1" applyBorder="1" applyAlignment="1" applyProtection="1">
      <alignment horizontal="center" vertical="center"/>
      <protection hidden="1"/>
    </xf>
    <xf numFmtId="177" fontId="12" fillId="0" borderId="31" xfId="495" applyFont="1" applyBorder="1" applyAlignment="1" applyProtection="1">
      <alignment vertical="center"/>
      <protection hidden="1"/>
    </xf>
    <xf numFmtId="177" fontId="13" fillId="0" borderId="31" xfId="495" applyFont="1" applyBorder="1" applyAlignment="1" applyProtection="1">
      <alignment vertical="center"/>
      <protection hidden="1"/>
    </xf>
    <xf numFmtId="1" fontId="12" fillId="0" borderId="31" xfId="495" applyNumberFormat="1" applyFont="1" applyBorder="1" applyAlignment="1" applyProtection="1">
      <alignment horizontal="right" vertical="center"/>
      <protection hidden="1"/>
    </xf>
    <xf numFmtId="1" fontId="29" fillId="0" borderId="31" xfId="495" applyNumberFormat="1" applyFont="1" applyBorder="1" applyAlignment="1" applyProtection="1">
      <alignment horizontal="right" vertical="center"/>
      <protection hidden="1"/>
    </xf>
    <xf numFmtId="183" fontId="12" fillId="0" borderId="31" xfId="497" applyNumberFormat="1" applyFont="1" applyBorder="1" applyAlignment="1" applyProtection="1">
      <alignment horizontal="right" vertical="center"/>
      <protection hidden="1"/>
    </xf>
    <xf numFmtId="188" fontId="12" fillId="0" borderId="31" xfId="495" applyNumberFormat="1" applyFont="1" applyBorder="1" applyAlignment="1" applyProtection="1">
      <alignment horizontal="right" vertical="center"/>
      <protection hidden="1"/>
    </xf>
    <xf numFmtId="177" fontId="12" fillId="0" borderId="31" xfId="495" applyFont="1" applyBorder="1" applyAlignment="1" applyProtection="1">
      <alignment horizontal="center" vertical="center"/>
      <protection hidden="1"/>
    </xf>
    <xf numFmtId="3" fontId="12" fillId="0" borderId="31" xfId="497" applyNumberFormat="1" applyFont="1" applyBorder="1" applyAlignment="1" applyProtection="1">
      <alignment horizontal="right" vertical="center"/>
      <protection hidden="1"/>
    </xf>
    <xf numFmtId="189" fontId="12" fillId="0" borderId="31" xfId="403" applyNumberFormat="1" applyFont="1" applyBorder="1" applyAlignment="1" applyProtection="1">
      <alignment horizontal="right" vertical="center"/>
      <protection hidden="1"/>
    </xf>
    <xf numFmtId="1" fontId="12" fillId="0" borderId="0" xfId="402" applyNumberFormat="1" applyFont="1" applyAlignment="1" applyProtection="1">
      <alignment vertical="center"/>
      <protection hidden="1"/>
    </xf>
    <xf numFmtId="177" fontId="12" fillId="0" borderId="0" xfId="495" applyFont="1" applyAlignment="1" applyProtection="1">
      <alignment vertical="center"/>
      <protection hidden="1"/>
    </xf>
    <xf numFmtId="39" fontId="28" fillId="0" borderId="0" xfId="403" applyNumberFormat="1" applyFont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177" fontId="4" fillId="0" borderId="1" xfId="495" applyFont="1" applyBorder="1" applyAlignment="1" applyProtection="1">
      <alignment horizontal="center" vertical="center" wrapText="1"/>
      <protection hidden="1"/>
    </xf>
    <xf numFmtId="177" fontId="4" fillId="0" borderId="1" xfId="495" applyFont="1" applyBorder="1" applyAlignment="1" applyProtection="1">
      <alignment horizontal="center" vertical="center"/>
      <protection hidden="1"/>
    </xf>
    <xf numFmtId="181" fontId="4" fillId="0" borderId="1" xfId="495" applyNumberFormat="1" applyFont="1" applyBorder="1" applyAlignment="1" applyProtection="1">
      <alignment horizontal="center" vertical="center"/>
      <protection hidden="1"/>
    </xf>
    <xf numFmtId="177" fontId="13" fillId="0" borderId="0" xfId="495" applyFont="1" applyAlignment="1" applyProtection="1">
      <alignment horizontal="right" vertical="center"/>
      <protection hidden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</cellXfs>
  <cellStyles count="63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%" xfId="49"/>
    <cellStyle name="??&quot;扆?H?_x0008_?Y_x0006__x0007__x0001__x0001_" xfId="50"/>
    <cellStyle name="??&amp;O龡&amp;H?_x0008_??_x0007__x0001__x0001_" xfId="51"/>
    <cellStyle name="??&amp;O龡&amp;H?_x0008_??_x0007__x0001__x0001_ 10" xfId="52"/>
    <cellStyle name="??&amp;O龡&amp;H?_x0008_??_x0007__x0001__x0001_ 2" xfId="53"/>
    <cellStyle name="??&amp;O龡&amp;H?_x0008_??_x0007__x0001__x0001_ 2 2" xfId="54"/>
    <cellStyle name="??&amp;O龡&amp;H?_x0008_??_x0007__x0001__x0001_ 3" xfId="55"/>
    <cellStyle name="??&amp;O龡&amp;H?_x0008_??_x0007__x0001__x0001_ 4" xfId="56"/>
    <cellStyle name="??&amp;O龡&amp;H?_x0008_??_x0007__x0001__x0001_ 4 2" xfId="57"/>
    <cellStyle name="??&amp;O龡&amp;H?_x0008_??_x0007__x0001__x0001_ 5" xfId="58"/>
    <cellStyle name="??&amp;O龡&amp;H?_x0008_??_x0007__x0001__x0001__1_中国电信移动网络建设（2010年一期）浙江公司无线网工程-XX本地网分布系统项目X预算--2010更新-温州" xfId="59"/>
    <cellStyle name="??&amp;O龡&amp;H?_x005f_x0008_??_x005f_x0007__x005f_x0001__x005f_x0001_" xfId="60"/>
    <cellStyle name="0,0_x000d__x000a_NA_x000d__x000a_" xfId="61"/>
    <cellStyle name="0,0_x000d__x000a_NA_x000d__x000a_ 2" xfId="62"/>
    <cellStyle name="0,0_x000d__x000a_NA_x000d__x000a_ 3" xfId="63"/>
    <cellStyle name="0,0_x000d__x000a_NA_x000d__x000a__1_中国电信移动网络建设（2010年一期）浙江公司无线网工程-XX本地网分布系统项目X预算--2010更新-温州" xfId="64"/>
    <cellStyle name="20% - 强调文字颜色 1 10" xfId="65"/>
    <cellStyle name="20% - 强调文字颜色 1 11" xfId="66"/>
    <cellStyle name="20% - 强调文字颜色 1 12" xfId="67"/>
    <cellStyle name="20% - 强调文字颜色 1 13" xfId="68"/>
    <cellStyle name="20% - 强调文字颜色 1 14" xfId="69"/>
    <cellStyle name="20% - 强调文字颜色 1 2" xfId="70"/>
    <cellStyle name="20% - 强调文字颜色 1 3" xfId="71"/>
    <cellStyle name="20% - 强调文字颜色 1 4" xfId="72"/>
    <cellStyle name="20% - 强调文字颜色 1 5" xfId="73"/>
    <cellStyle name="20% - 强调文字颜色 1 6" xfId="74"/>
    <cellStyle name="20% - 强调文字颜色 1 7" xfId="75"/>
    <cellStyle name="20% - 强调文字颜色 1 8" xfId="76"/>
    <cellStyle name="20% - 强调文字颜色 1 9" xfId="77"/>
    <cellStyle name="20% - 强调文字颜色 2 10" xfId="78"/>
    <cellStyle name="20% - 强调文字颜色 2 11" xfId="79"/>
    <cellStyle name="20% - 强调文字颜色 2 12" xfId="80"/>
    <cellStyle name="20% - 强调文字颜色 2 13" xfId="81"/>
    <cellStyle name="20% - 强调文字颜色 2 14" xfId="82"/>
    <cellStyle name="20% - 强调文字颜色 2 2" xfId="83"/>
    <cellStyle name="20% - 强调文字颜色 2 3" xfId="84"/>
    <cellStyle name="20% - 强调文字颜色 2 4" xfId="85"/>
    <cellStyle name="20% - 强调文字颜色 2 5" xfId="86"/>
    <cellStyle name="20% - 强调文字颜色 2 6" xfId="87"/>
    <cellStyle name="20% - 强调文字颜色 2 7" xfId="88"/>
    <cellStyle name="20% - 强调文字颜色 2 8" xfId="89"/>
    <cellStyle name="20% - 强调文字颜色 2 9" xfId="90"/>
    <cellStyle name="20% - 强调文字颜色 3 10" xfId="91"/>
    <cellStyle name="20% - 强调文字颜色 3 11" xfId="92"/>
    <cellStyle name="20% - 强调文字颜色 3 12" xfId="93"/>
    <cellStyle name="20% - 强调文字颜色 3 13" xfId="94"/>
    <cellStyle name="20% - 强调文字颜色 3 14" xfId="95"/>
    <cellStyle name="20% - 强调文字颜色 3 2" xfId="96"/>
    <cellStyle name="20% - 强调文字颜色 3 3" xfId="97"/>
    <cellStyle name="20% - 强调文字颜色 3 4" xfId="98"/>
    <cellStyle name="20% - 强调文字颜色 3 5" xfId="99"/>
    <cellStyle name="20% - 强调文字颜色 3 6" xfId="100"/>
    <cellStyle name="20% - 强调文字颜色 3 7" xfId="101"/>
    <cellStyle name="20% - 强调文字颜色 3 8" xfId="102"/>
    <cellStyle name="20% - 强调文字颜色 3 9" xfId="103"/>
    <cellStyle name="20% - 强调文字颜色 4 10" xfId="104"/>
    <cellStyle name="20% - 强调文字颜色 4 11" xfId="105"/>
    <cellStyle name="20% - 强调文字颜色 4 12" xfId="106"/>
    <cellStyle name="20% - 强调文字颜色 4 13" xfId="107"/>
    <cellStyle name="20% - 强调文字颜色 4 14" xfId="108"/>
    <cellStyle name="20% - 强调文字颜色 4 2" xfId="109"/>
    <cellStyle name="20% - 强调文字颜色 4 3" xfId="110"/>
    <cellStyle name="20% - 强调文字颜色 4 4" xfId="111"/>
    <cellStyle name="20% - 强调文字颜色 4 5" xfId="112"/>
    <cellStyle name="20% - 强调文字颜色 4 6" xfId="113"/>
    <cellStyle name="20% - 强调文字颜色 4 7" xfId="114"/>
    <cellStyle name="20% - 强调文字颜色 4 8" xfId="115"/>
    <cellStyle name="20% - 强调文字颜色 4 9" xfId="116"/>
    <cellStyle name="20% - 强调文字颜色 5 10" xfId="117"/>
    <cellStyle name="20% - 强调文字颜色 5 11" xfId="118"/>
    <cellStyle name="20% - 强调文字颜色 5 12" xfId="119"/>
    <cellStyle name="20% - 强调文字颜色 5 13" xfId="120"/>
    <cellStyle name="20% - 强调文字颜色 5 14" xfId="121"/>
    <cellStyle name="20% - 强调文字颜色 5 2" xfId="122"/>
    <cellStyle name="20% - 强调文字颜色 5 3" xfId="123"/>
    <cellStyle name="20% - 强调文字颜色 5 4" xfId="124"/>
    <cellStyle name="20% - 强调文字颜色 5 5" xfId="125"/>
    <cellStyle name="20% - 强调文字颜色 5 6" xfId="126"/>
    <cellStyle name="20% - 强调文字颜色 5 7" xfId="127"/>
    <cellStyle name="20% - 强调文字颜色 5 8" xfId="128"/>
    <cellStyle name="20% - 强调文字颜色 5 9" xfId="129"/>
    <cellStyle name="20% - 强调文字颜色 6 10" xfId="130"/>
    <cellStyle name="20% - 强调文字颜色 6 11" xfId="131"/>
    <cellStyle name="20% - 强调文字颜色 6 12" xfId="132"/>
    <cellStyle name="20% - 强调文字颜色 6 13" xfId="133"/>
    <cellStyle name="20% - 强调文字颜色 6 14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强调文字颜色 6 8" xfId="141"/>
    <cellStyle name="20% - 强调文字颜色 6 9" xfId="142"/>
    <cellStyle name="40% - 强调文字颜色 1 10" xfId="143"/>
    <cellStyle name="40% - 强调文字颜色 1 11" xfId="144"/>
    <cellStyle name="40% - 强调文字颜色 1 12" xfId="145"/>
    <cellStyle name="40% - 强调文字颜色 1 13" xfId="146"/>
    <cellStyle name="40% - 强调文字颜色 1 14" xfId="147"/>
    <cellStyle name="40% - 强调文字颜色 1 2" xfId="148"/>
    <cellStyle name="40% - 强调文字颜色 1 3" xfId="149"/>
    <cellStyle name="40% - 强调文字颜色 1 4" xfId="150"/>
    <cellStyle name="40% - 强调文字颜色 1 5" xfId="151"/>
    <cellStyle name="40% - 强调文字颜色 1 6" xfId="152"/>
    <cellStyle name="40% - 强调文字颜色 1 7" xfId="153"/>
    <cellStyle name="40% - 强调文字颜色 1 8" xfId="154"/>
    <cellStyle name="40% - 强调文字颜色 1 9" xfId="155"/>
    <cellStyle name="40% - 强调文字颜色 2 10" xfId="156"/>
    <cellStyle name="40% - 强调文字颜色 2 11" xfId="157"/>
    <cellStyle name="40% - 强调文字颜色 2 12" xfId="158"/>
    <cellStyle name="40% - 强调文字颜色 2 13" xfId="159"/>
    <cellStyle name="40% - 强调文字颜色 2 14" xfId="160"/>
    <cellStyle name="40% - 强调文字颜色 2 2" xfId="161"/>
    <cellStyle name="40% - 强调文字颜色 2 3" xfId="162"/>
    <cellStyle name="40% - 强调文字颜色 2 4" xfId="163"/>
    <cellStyle name="40% - 强调文字颜色 2 5" xfId="164"/>
    <cellStyle name="40% - 强调文字颜色 2 6" xfId="165"/>
    <cellStyle name="40% - 强调文字颜色 2 7" xfId="166"/>
    <cellStyle name="40% - 强调文字颜色 2 8" xfId="167"/>
    <cellStyle name="40% - 强调文字颜色 2 9" xfId="168"/>
    <cellStyle name="40% - 强调文字颜色 3 10" xfId="169"/>
    <cellStyle name="40% - 强调文字颜色 3 11" xfId="170"/>
    <cellStyle name="40% - 强调文字颜色 3 12" xfId="171"/>
    <cellStyle name="40% - 强调文字颜色 3 13" xfId="172"/>
    <cellStyle name="40% - 强调文字颜色 3 14" xfId="173"/>
    <cellStyle name="40% - 强调文字颜色 3 2" xfId="174"/>
    <cellStyle name="40% - 强调文字颜色 3 3" xfId="175"/>
    <cellStyle name="40% - 强调文字颜色 3 4" xfId="176"/>
    <cellStyle name="40% - 强调文字颜色 3 5" xfId="177"/>
    <cellStyle name="40% - 强调文字颜色 3 6" xfId="178"/>
    <cellStyle name="40% - 强调文字颜色 3 7" xfId="179"/>
    <cellStyle name="40% - 强调文字颜色 3 8" xfId="180"/>
    <cellStyle name="40% - 强调文字颜色 3 9" xfId="181"/>
    <cellStyle name="40% - 强调文字颜色 4 10" xfId="182"/>
    <cellStyle name="40% - 强调文字颜色 4 11" xfId="183"/>
    <cellStyle name="40% - 强调文字颜色 4 12" xfId="184"/>
    <cellStyle name="40% - 强调文字颜色 4 13" xfId="185"/>
    <cellStyle name="40% - 强调文字颜色 4 14" xfId="186"/>
    <cellStyle name="40% - 强调文字颜色 4 2" xfId="187"/>
    <cellStyle name="40% - 强调文字颜色 4 3" xfId="188"/>
    <cellStyle name="40% - 强调文字颜色 4 4" xfId="189"/>
    <cellStyle name="40% - 强调文字颜色 4 5" xfId="190"/>
    <cellStyle name="40% - 强调文字颜色 4 6" xfId="191"/>
    <cellStyle name="40% - 强调文字颜色 4 7" xfId="192"/>
    <cellStyle name="40% - 强调文字颜色 4 8" xfId="193"/>
    <cellStyle name="40% - 强调文字颜色 4 9" xfId="194"/>
    <cellStyle name="40% - 强调文字颜色 5 10" xfId="195"/>
    <cellStyle name="40% - 强调文字颜色 5 11" xfId="196"/>
    <cellStyle name="40% - 强调文字颜色 5 12" xfId="197"/>
    <cellStyle name="40% - 强调文字颜色 5 13" xfId="198"/>
    <cellStyle name="40% - 强调文字颜色 5 14" xfId="199"/>
    <cellStyle name="40% - 强调文字颜色 5 2" xfId="200"/>
    <cellStyle name="40% - 强调文字颜色 5 3" xfId="201"/>
    <cellStyle name="40% - 强调文字颜色 5 4" xfId="202"/>
    <cellStyle name="40% - 强调文字颜色 5 5" xfId="203"/>
    <cellStyle name="40% - 强调文字颜色 5 6" xfId="204"/>
    <cellStyle name="40% - 强调文字颜色 5 7" xfId="205"/>
    <cellStyle name="40% - 强调文字颜色 5 8" xfId="206"/>
    <cellStyle name="40% - 强调文字颜色 5 9" xfId="207"/>
    <cellStyle name="40% - 强调文字颜色 6 10" xfId="208"/>
    <cellStyle name="40% - 强调文字颜色 6 11" xfId="209"/>
    <cellStyle name="40% - 强调文字颜色 6 12" xfId="210"/>
    <cellStyle name="40% - 强调文字颜色 6 13" xfId="211"/>
    <cellStyle name="40% - 强调文字颜色 6 14" xfId="212"/>
    <cellStyle name="40% - 强调文字颜色 6 2" xfId="213"/>
    <cellStyle name="40% - 强调文字颜色 6 3" xfId="214"/>
    <cellStyle name="40% - 强调文字颜色 6 4" xfId="215"/>
    <cellStyle name="40% - 强调文字颜色 6 5" xfId="216"/>
    <cellStyle name="40% - 强调文字颜色 6 6" xfId="217"/>
    <cellStyle name="40% - 强调文字颜色 6 7" xfId="218"/>
    <cellStyle name="40% - 强调文字颜色 6 8" xfId="219"/>
    <cellStyle name="40% - 强调文字颜色 6 9" xfId="220"/>
    <cellStyle name="60% - 强调文字颜色 1 10" xfId="221"/>
    <cellStyle name="60% - 强调文字颜色 1 11" xfId="222"/>
    <cellStyle name="60% - 强调文字颜色 1 12" xfId="223"/>
    <cellStyle name="60% - 强调文字颜色 1 13" xfId="224"/>
    <cellStyle name="60% - 强调文字颜色 1 14" xfId="225"/>
    <cellStyle name="60% - 强调文字颜色 1 2" xfId="226"/>
    <cellStyle name="60% - 强调文字颜色 1 3" xfId="227"/>
    <cellStyle name="60% - 强调文字颜色 1 4" xfId="228"/>
    <cellStyle name="60% - 强调文字颜色 1 5" xfId="229"/>
    <cellStyle name="60% - 强调文字颜色 1 6" xfId="230"/>
    <cellStyle name="60% - 强调文字颜色 1 7" xfId="231"/>
    <cellStyle name="60% - 强调文字颜色 1 8" xfId="232"/>
    <cellStyle name="60% - 强调文字颜色 1 9" xfId="233"/>
    <cellStyle name="60% - 强调文字颜色 2 10" xfId="234"/>
    <cellStyle name="60% - 强调文字颜色 2 11" xfId="235"/>
    <cellStyle name="60% - 强调文字颜色 2 12" xfId="236"/>
    <cellStyle name="60% - 强调文字颜色 2 13" xfId="237"/>
    <cellStyle name="60% - 强调文字颜色 2 14" xfId="238"/>
    <cellStyle name="60% - 强调文字颜色 2 2" xfId="239"/>
    <cellStyle name="60% - 强调文字颜色 2 3" xfId="240"/>
    <cellStyle name="60% - 强调文字颜色 2 4" xfId="241"/>
    <cellStyle name="60% - 强调文字颜色 2 5" xfId="242"/>
    <cellStyle name="60% - 强调文字颜色 2 6" xfId="243"/>
    <cellStyle name="60% - 强调文字颜色 2 7" xfId="244"/>
    <cellStyle name="60% - 强调文字颜色 2 8" xfId="245"/>
    <cellStyle name="60% - 强调文字颜色 2 9" xfId="246"/>
    <cellStyle name="60% - 强调文字颜色 3 10" xfId="247"/>
    <cellStyle name="60% - 强调文字颜色 3 11" xfId="248"/>
    <cellStyle name="60% - 强调文字颜色 3 12" xfId="249"/>
    <cellStyle name="60% - 强调文字颜色 3 13" xfId="250"/>
    <cellStyle name="60% - 强调文字颜色 3 14" xfId="251"/>
    <cellStyle name="60% - 强调文字颜色 3 2" xfId="252"/>
    <cellStyle name="60% - 强调文字颜色 3 3" xfId="253"/>
    <cellStyle name="60% - 强调文字颜色 3 4" xfId="254"/>
    <cellStyle name="60% - 强调文字颜色 3 5" xfId="255"/>
    <cellStyle name="60% - 强调文字颜色 3 6" xfId="256"/>
    <cellStyle name="60% - 强调文字颜色 3 7" xfId="257"/>
    <cellStyle name="60% - 强调文字颜色 3 8" xfId="258"/>
    <cellStyle name="60% - 强调文字颜色 3 9" xfId="259"/>
    <cellStyle name="60% - 强调文字颜色 4 10" xfId="260"/>
    <cellStyle name="60% - 强调文字颜色 4 11" xfId="261"/>
    <cellStyle name="60% - 强调文字颜色 4 12" xfId="262"/>
    <cellStyle name="60% - 强调文字颜色 4 13" xfId="263"/>
    <cellStyle name="60% - 强调文字颜色 4 14" xfId="264"/>
    <cellStyle name="60% - 强调文字颜色 4 2" xfId="265"/>
    <cellStyle name="60% - 强调文字颜色 4 3" xfId="266"/>
    <cellStyle name="60% - 强调文字颜色 4 4" xfId="267"/>
    <cellStyle name="60% - 强调文字颜色 4 5" xfId="268"/>
    <cellStyle name="60% - 强调文字颜色 4 6" xfId="269"/>
    <cellStyle name="60% - 强调文字颜色 4 7" xfId="270"/>
    <cellStyle name="60% - 强调文字颜色 4 8" xfId="271"/>
    <cellStyle name="60% - 强调文字颜色 4 9" xfId="272"/>
    <cellStyle name="60% - 强调文字颜色 5 10" xfId="273"/>
    <cellStyle name="60% - 强调文字颜色 5 11" xfId="274"/>
    <cellStyle name="60% - 强调文字颜色 5 12" xfId="275"/>
    <cellStyle name="60% - 强调文字颜色 5 13" xfId="276"/>
    <cellStyle name="60% - 强调文字颜色 5 14" xfId="277"/>
    <cellStyle name="60% - 强调文字颜色 5 2" xfId="278"/>
    <cellStyle name="60% - 强调文字颜色 5 3" xfId="279"/>
    <cellStyle name="60% - 强调文字颜色 5 4" xfId="280"/>
    <cellStyle name="60% - 强调文字颜色 5 5" xfId="281"/>
    <cellStyle name="60% - 强调文字颜色 5 6" xfId="282"/>
    <cellStyle name="60% - 强调文字颜色 5 7" xfId="283"/>
    <cellStyle name="60% - 强调文字颜色 5 8" xfId="284"/>
    <cellStyle name="60% - 强调文字颜色 5 9" xfId="285"/>
    <cellStyle name="60% - 强调文字颜色 6 10" xfId="286"/>
    <cellStyle name="60% - 强调文字颜色 6 11" xfId="287"/>
    <cellStyle name="60% - 强调文字颜色 6 12" xfId="288"/>
    <cellStyle name="60% - 强调文字颜色 6 13" xfId="289"/>
    <cellStyle name="60% - 强调文字颜色 6 14" xfId="290"/>
    <cellStyle name="60% - 强调文字颜色 6 2" xfId="291"/>
    <cellStyle name="60% - 强调文字颜色 6 3" xfId="292"/>
    <cellStyle name="60% - 强调文字颜色 6 4" xfId="293"/>
    <cellStyle name="60% - 强调文字颜色 6 5" xfId="294"/>
    <cellStyle name="60% - 强调文字颜色 6 6" xfId="295"/>
    <cellStyle name="60% - 强调文字颜色 6 7" xfId="296"/>
    <cellStyle name="60% - 强调文字颜色 6 8" xfId="297"/>
    <cellStyle name="60% - 强调文字颜色 6 9" xfId="298"/>
    <cellStyle name="Currency0" xfId="299"/>
    <cellStyle name="me" xfId="300"/>
    <cellStyle name="me21" xfId="301"/>
    <cellStyle name="Normal_~BA2310_P1-14 nodes orderform_310504041" xfId="302"/>
    <cellStyle name="s]_x000d__x000a_load=_x000d__x000a_run=_x000d__x000a_NullPort=None_x000d__x000a_device=HP LaserJet 4 Plus,HPPCL5MS,LPT1:_x000d__x000a__x000d__x000a_[Desktop]_x000d__x000a_Wallpaper=(无)_x000d__x000a_TileWallpaper=0_x000d_" xfId="303"/>
    <cellStyle name="Sub Title" xfId="304"/>
    <cellStyle name="百分比 2" xfId="305"/>
    <cellStyle name="标题 1 10" xfId="306"/>
    <cellStyle name="标题 1 11" xfId="307"/>
    <cellStyle name="标题 1 12" xfId="308"/>
    <cellStyle name="标题 1 13" xfId="309"/>
    <cellStyle name="标题 1 14" xfId="310"/>
    <cellStyle name="标题 1 2" xfId="311"/>
    <cellStyle name="标题 1 3" xfId="312"/>
    <cellStyle name="标题 1 4" xfId="313"/>
    <cellStyle name="标题 1 5" xfId="314"/>
    <cellStyle name="标题 1 6" xfId="315"/>
    <cellStyle name="标题 1 7" xfId="316"/>
    <cellStyle name="标题 1 8" xfId="317"/>
    <cellStyle name="标题 1 9" xfId="318"/>
    <cellStyle name="标题 10" xfId="319"/>
    <cellStyle name="标题 11" xfId="320"/>
    <cellStyle name="标题 12" xfId="321"/>
    <cellStyle name="标题 13" xfId="322"/>
    <cellStyle name="标题 14" xfId="323"/>
    <cellStyle name="标题 15" xfId="324"/>
    <cellStyle name="标题 16" xfId="325"/>
    <cellStyle name="标题 17" xfId="326"/>
    <cellStyle name="标题 2 10" xfId="327"/>
    <cellStyle name="标题 2 11" xfId="328"/>
    <cellStyle name="标题 2 12" xfId="329"/>
    <cellStyle name="标题 2 13" xfId="330"/>
    <cellStyle name="标题 2 14" xfId="331"/>
    <cellStyle name="标题 2 2" xfId="332"/>
    <cellStyle name="标题 2 3" xfId="333"/>
    <cellStyle name="标题 2 4" xfId="334"/>
    <cellStyle name="标题 2 5" xfId="335"/>
    <cellStyle name="标题 2 6" xfId="336"/>
    <cellStyle name="标题 2 7" xfId="337"/>
    <cellStyle name="标题 2 8" xfId="338"/>
    <cellStyle name="标题 2 9" xfId="339"/>
    <cellStyle name="标题 3 10" xfId="340"/>
    <cellStyle name="标题 3 11" xfId="341"/>
    <cellStyle name="标题 3 12" xfId="342"/>
    <cellStyle name="标题 3 13" xfId="343"/>
    <cellStyle name="标题 3 14" xfId="344"/>
    <cellStyle name="标题 3 2" xfId="345"/>
    <cellStyle name="标题 3 3" xfId="346"/>
    <cellStyle name="标题 3 4" xfId="347"/>
    <cellStyle name="标题 3 5" xfId="348"/>
    <cellStyle name="标题 3 6" xfId="349"/>
    <cellStyle name="标题 3 7" xfId="350"/>
    <cellStyle name="标题 3 8" xfId="351"/>
    <cellStyle name="标题 3 9" xfId="352"/>
    <cellStyle name="标题 4 10" xfId="353"/>
    <cellStyle name="标题 4 11" xfId="354"/>
    <cellStyle name="标题 4 12" xfId="355"/>
    <cellStyle name="标题 4 13" xfId="356"/>
    <cellStyle name="标题 4 14" xfId="357"/>
    <cellStyle name="标题 4 2" xfId="358"/>
    <cellStyle name="标题 4 3" xfId="359"/>
    <cellStyle name="标题 4 4" xfId="360"/>
    <cellStyle name="标题 4 5" xfId="361"/>
    <cellStyle name="标题 4 6" xfId="362"/>
    <cellStyle name="标题 4 7" xfId="363"/>
    <cellStyle name="标题 4 8" xfId="364"/>
    <cellStyle name="标题 4 9" xfId="365"/>
    <cellStyle name="标题 5" xfId="366"/>
    <cellStyle name="标题 6" xfId="367"/>
    <cellStyle name="标题 7" xfId="368"/>
    <cellStyle name="标题 8" xfId="369"/>
    <cellStyle name="标题 9" xfId="370"/>
    <cellStyle name="差 10" xfId="371"/>
    <cellStyle name="差 11" xfId="372"/>
    <cellStyle name="差 12" xfId="373"/>
    <cellStyle name="差 13" xfId="374"/>
    <cellStyle name="差 14" xfId="375"/>
    <cellStyle name="差 2" xfId="376"/>
    <cellStyle name="差 3" xfId="377"/>
    <cellStyle name="差 4" xfId="378"/>
    <cellStyle name="差 5" xfId="379"/>
    <cellStyle name="差 6" xfId="380"/>
    <cellStyle name="差 7" xfId="381"/>
    <cellStyle name="差 8" xfId="382"/>
    <cellStyle name="差 9" xfId="383"/>
    <cellStyle name="常规 11" xfId="384"/>
    <cellStyle name="常规 2" xfId="385"/>
    <cellStyle name="常规 2 2" xfId="386"/>
    <cellStyle name="常规 2 2 2" xfId="387"/>
    <cellStyle name="常规 2 2 3" xfId="388"/>
    <cellStyle name="常规 2 29" xfId="389"/>
    <cellStyle name="常规 2 3" xfId="390"/>
    <cellStyle name="常规 2 5" xfId="391"/>
    <cellStyle name="常规 3" xfId="392"/>
    <cellStyle name="常规 3 2" xfId="393"/>
    <cellStyle name="常规 3 2 2" xfId="394"/>
    <cellStyle name="常规 4" xfId="395"/>
    <cellStyle name="常规 5" xfId="396"/>
    <cellStyle name="常规 5 2" xfId="397"/>
    <cellStyle name="常规 6" xfId="398"/>
    <cellStyle name="常规 7" xfId="399"/>
    <cellStyle name="常规_+TABLE-2" xfId="400"/>
    <cellStyle name="常规_+TABLE3A" xfId="401"/>
    <cellStyle name="常规_德州无线概算" xfId="402"/>
    <cellStyle name="常规_哈市区新建预算" xfId="403"/>
    <cellStyle name="好 10" xfId="404"/>
    <cellStyle name="好 11" xfId="405"/>
    <cellStyle name="好 12" xfId="406"/>
    <cellStyle name="好 13" xfId="407"/>
    <cellStyle name="好 14" xfId="408"/>
    <cellStyle name="好 2" xfId="409"/>
    <cellStyle name="好 3" xfId="410"/>
    <cellStyle name="好 4" xfId="411"/>
    <cellStyle name="好 5" xfId="412"/>
    <cellStyle name="好 6" xfId="413"/>
    <cellStyle name="好 7" xfId="414"/>
    <cellStyle name="好 8" xfId="415"/>
    <cellStyle name="好 9" xfId="416"/>
    <cellStyle name="汇总 10" xfId="417"/>
    <cellStyle name="汇总 11" xfId="418"/>
    <cellStyle name="汇总 12" xfId="419"/>
    <cellStyle name="汇总 13" xfId="420"/>
    <cellStyle name="汇总 14" xfId="421"/>
    <cellStyle name="汇总 2" xfId="422"/>
    <cellStyle name="汇总 3" xfId="423"/>
    <cellStyle name="汇总 4" xfId="424"/>
    <cellStyle name="汇总 5" xfId="425"/>
    <cellStyle name="汇总 6" xfId="426"/>
    <cellStyle name="汇总 7" xfId="427"/>
    <cellStyle name="汇总 8" xfId="428"/>
    <cellStyle name="汇总 9" xfId="429"/>
    <cellStyle name="计算 10" xfId="430"/>
    <cellStyle name="计算 11" xfId="431"/>
    <cellStyle name="计算 12" xfId="432"/>
    <cellStyle name="计算 13" xfId="433"/>
    <cellStyle name="计算 14" xfId="434"/>
    <cellStyle name="计算 2" xfId="435"/>
    <cellStyle name="计算 3" xfId="436"/>
    <cellStyle name="计算 4" xfId="437"/>
    <cellStyle name="计算 5" xfId="438"/>
    <cellStyle name="计算 6" xfId="439"/>
    <cellStyle name="计算 7" xfId="440"/>
    <cellStyle name="计算 8" xfId="441"/>
    <cellStyle name="计算 9" xfId="442"/>
    <cellStyle name="检查单元格 10" xfId="443"/>
    <cellStyle name="检查单元格 11" xfId="444"/>
    <cellStyle name="检查单元格 12" xfId="445"/>
    <cellStyle name="检查单元格 13" xfId="446"/>
    <cellStyle name="检查单元格 14" xfId="447"/>
    <cellStyle name="检查单元格 2" xfId="448"/>
    <cellStyle name="检查单元格 3" xfId="449"/>
    <cellStyle name="检查单元格 4" xfId="450"/>
    <cellStyle name="检查单元格 5" xfId="451"/>
    <cellStyle name="检查单元格 6" xfId="452"/>
    <cellStyle name="检查单元格 7" xfId="453"/>
    <cellStyle name="检查单元格 8" xfId="454"/>
    <cellStyle name="检查单元格 9" xfId="455"/>
    <cellStyle name="解释性文本 10" xfId="456"/>
    <cellStyle name="解释性文本 11" xfId="457"/>
    <cellStyle name="解释性文本 12" xfId="458"/>
    <cellStyle name="解释性文本 13" xfId="459"/>
    <cellStyle name="解释性文本 14" xfId="460"/>
    <cellStyle name="解释性文本 2" xfId="461"/>
    <cellStyle name="解释性文本 3" xfId="462"/>
    <cellStyle name="解释性文本 4" xfId="463"/>
    <cellStyle name="解释性文本 5" xfId="464"/>
    <cellStyle name="解释性文本 6" xfId="465"/>
    <cellStyle name="解释性文本 7" xfId="466"/>
    <cellStyle name="解释性文本 8" xfId="467"/>
    <cellStyle name="解释性文本 9" xfId="468"/>
    <cellStyle name="警告文本 10" xfId="469"/>
    <cellStyle name="警告文本 11" xfId="470"/>
    <cellStyle name="警告文本 12" xfId="471"/>
    <cellStyle name="警告文本 13" xfId="472"/>
    <cellStyle name="警告文本 14" xfId="473"/>
    <cellStyle name="警告文本 2" xfId="474"/>
    <cellStyle name="警告文本 3" xfId="475"/>
    <cellStyle name="警告文本 4" xfId="476"/>
    <cellStyle name="警告文本 5" xfId="477"/>
    <cellStyle name="警告文本 6" xfId="478"/>
    <cellStyle name="警告文本 7" xfId="479"/>
    <cellStyle name="警告文本 8" xfId="480"/>
    <cellStyle name="警告文本 9" xfId="481"/>
    <cellStyle name="链接单元格 10" xfId="482"/>
    <cellStyle name="链接单元格 11" xfId="483"/>
    <cellStyle name="链接单元格 12" xfId="484"/>
    <cellStyle name="链接单元格 13" xfId="485"/>
    <cellStyle name="链接单元格 14" xfId="486"/>
    <cellStyle name="链接单元格 2" xfId="487"/>
    <cellStyle name="链接单元格 3" xfId="488"/>
    <cellStyle name="链接单元格 4" xfId="489"/>
    <cellStyle name="链接单元格 5" xfId="490"/>
    <cellStyle name="链接单元格 6" xfId="491"/>
    <cellStyle name="链接单元格 7" xfId="492"/>
    <cellStyle name="链接单元格 8" xfId="493"/>
    <cellStyle name="链接单元格 9" xfId="494"/>
    <cellStyle name="普通_B1" xfId="495"/>
    <cellStyle name="普通_B42" xfId="496"/>
    <cellStyle name="千分位[0]_laroux" xfId="497"/>
    <cellStyle name="千位[0]_+++TABLE-1" xfId="498"/>
    <cellStyle name="千位_+++TABLE-1" xfId="499"/>
    <cellStyle name="千位分隔 2" xfId="500"/>
    <cellStyle name="千位分隔 3" xfId="501"/>
    <cellStyle name="强调文字颜色 1 10" xfId="502"/>
    <cellStyle name="强调文字颜色 1 11" xfId="503"/>
    <cellStyle name="强调文字颜色 1 12" xfId="504"/>
    <cellStyle name="强调文字颜色 1 13" xfId="505"/>
    <cellStyle name="强调文字颜色 1 14" xfId="506"/>
    <cellStyle name="强调文字颜色 1 2" xfId="507"/>
    <cellStyle name="强调文字颜色 1 3" xfId="508"/>
    <cellStyle name="强调文字颜色 1 4" xfId="509"/>
    <cellStyle name="强调文字颜色 1 5" xfId="510"/>
    <cellStyle name="强调文字颜色 1 6" xfId="511"/>
    <cellStyle name="强调文字颜色 1 7" xfId="512"/>
    <cellStyle name="强调文字颜色 1 8" xfId="513"/>
    <cellStyle name="强调文字颜色 1 9" xfId="514"/>
    <cellStyle name="强调文字颜色 2 10" xfId="515"/>
    <cellStyle name="强调文字颜色 2 11" xfId="516"/>
    <cellStyle name="强调文字颜色 2 12" xfId="517"/>
    <cellStyle name="强调文字颜色 2 13" xfId="518"/>
    <cellStyle name="强调文字颜色 2 14" xfId="519"/>
    <cellStyle name="强调文字颜色 2 2" xfId="520"/>
    <cellStyle name="强调文字颜色 2 3" xfId="521"/>
    <cellStyle name="强调文字颜色 2 4" xfId="522"/>
    <cellStyle name="强调文字颜色 2 5" xfId="523"/>
    <cellStyle name="强调文字颜色 2 6" xfId="524"/>
    <cellStyle name="强调文字颜色 2 7" xfId="525"/>
    <cellStyle name="强调文字颜色 2 8" xfId="526"/>
    <cellStyle name="强调文字颜色 2 9" xfId="527"/>
    <cellStyle name="强调文字颜色 3 10" xfId="528"/>
    <cellStyle name="强调文字颜色 3 11" xfId="529"/>
    <cellStyle name="强调文字颜色 3 12" xfId="530"/>
    <cellStyle name="强调文字颜色 3 13" xfId="531"/>
    <cellStyle name="强调文字颜色 3 14" xfId="532"/>
    <cellStyle name="强调文字颜色 3 2" xfId="533"/>
    <cellStyle name="强调文字颜色 3 3" xfId="534"/>
    <cellStyle name="强调文字颜色 3 4" xfId="535"/>
    <cellStyle name="强调文字颜色 3 5" xfId="536"/>
    <cellStyle name="强调文字颜色 3 6" xfId="537"/>
    <cellStyle name="强调文字颜色 3 7" xfId="538"/>
    <cellStyle name="强调文字颜色 3 8" xfId="539"/>
    <cellStyle name="强调文字颜色 3 9" xfId="540"/>
    <cellStyle name="强调文字颜色 4 10" xfId="541"/>
    <cellStyle name="强调文字颜色 4 11" xfId="542"/>
    <cellStyle name="强调文字颜色 4 12" xfId="543"/>
    <cellStyle name="强调文字颜色 4 13" xfId="544"/>
    <cellStyle name="强调文字颜色 4 14" xfId="545"/>
    <cellStyle name="强调文字颜色 4 2" xfId="546"/>
    <cellStyle name="强调文字颜色 4 3" xfId="547"/>
    <cellStyle name="强调文字颜色 4 4" xfId="548"/>
    <cellStyle name="强调文字颜色 4 5" xfId="549"/>
    <cellStyle name="强调文字颜色 4 6" xfId="550"/>
    <cellStyle name="强调文字颜色 4 7" xfId="551"/>
    <cellStyle name="强调文字颜色 4 8" xfId="552"/>
    <cellStyle name="强调文字颜色 4 9" xfId="553"/>
    <cellStyle name="强调文字颜色 5 10" xfId="554"/>
    <cellStyle name="强调文字颜色 5 11" xfId="555"/>
    <cellStyle name="强调文字颜色 5 12" xfId="556"/>
    <cellStyle name="强调文字颜色 5 13" xfId="557"/>
    <cellStyle name="强调文字颜色 5 14" xfId="558"/>
    <cellStyle name="强调文字颜色 5 2" xfId="559"/>
    <cellStyle name="强调文字颜色 5 3" xfId="560"/>
    <cellStyle name="强调文字颜色 5 4" xfId="561"/>
    <cellStyle name="强调文字颜色 5 5" xfId="562"/>
    <cellStyle name="强调文字颜色 5 6" xfId="563"/>
    <cellStyle name="强调文字颜色 5 7" xfId="564"/>
    <cellStyle name="强调文字颜色 5 8" xfId="565"/>
    <cellStyle name="强调文字颜色 5 9" xfId="566"/>
    <cellStyle name="强调文字颜色 6 10" xfId="567"/>
    <cellStyle name="强调文字颜色 6 11" xfId="568"/>
    <cellStyle name="强调文字颜色 6 12" xfId="569"/>
    <cellStyle name="强调文字颜色 6 13" xfId="570"/>
    <cellStyle name="强调文字颜色 6 14" xfId="571"/>
    <cellStyle name="强调文字颜色 6 2" xfId="572"/>
    <cellStyle name="强调文字颜色 6 3" xfId="573"/>
    <cellStyle name="强调文字颜色 6 4" xfId="574"/>
    <cellStyle name="强调文字颜色 6 5" xfId="575"/>
    <cellStyle name="强调文字颜色 6 6" xfId="576"/>
    <cellStyle name="强调文字颜色 6 7" xfId="577"/>
    <cellStyle name="强调文字颜色 6 8" xfId="578"/>
    <cellStyle name="强调文字颜色 6 9" xfId="579"/>
    <cellStyle name="适中 10" xfId="580"/>
    <cellStyle name="适中 11" xfId="581"/>
    <cellStyle name="适中 12" xfId="582"/>
    <cellStyle name="适中 13" xfId="583"/>
    <cellStyle name="适中 14" xfId="584"/>
    <cellStyle name="适中 2" xfId="585"/>
    <cellStyle name="适中 3" xfId="586"/>
    <cellStyle name="适中 4" xfId="587"/>
    <cellStyle name="适中 5" xfId="588"/>
    <cellStyle name="适中 6" xfId="589"/>
    <cellStyle name="适中 7" xfId="590"/>
    <cellStyle name="适中 8" xfId="591"/>
    <cellStyle name="适中 9" xfId="592"/>
    <cellStyle name="输出 10" xfId="593"/>
    <cellStyle name="输出 11" xfId="594"/>
    <cellStyle name="输出 12" xfId="595"/>
    <cellStyle name="输出 13" xfId="596"/>
    <cellStyle name="输出 14" xfId="597"/>
    <cellStyle name="输出 2" xfId="598"/>
    <cellStyle name="输出 3" xfId="599"/>
    <cellStyle name="输出 4" xfId="600"/>
    <cellStyle name="输出 5" xfId="601"/>
    <cellStyle name="输出 6" xfId="602"/>
    <cellStyle name="输出 7" xfId="603"/>
    <cellStyle name="输出 8" xfId="604"/>
    <cellStyle name="输出 9" xfId="605"/>
    <cellStyle name="输入 10" xfId="606"/>
    <cellStyle name="输入 11" xfId="607"/>
    <cellStyle name="输入 12" xfId="608"/>
    <cellStyle name="输入 13" xfId="609"/>
    <cellStyle name="输入 14" xfId="610"/>
    <cellStyle name="输入 2" xfId="611"/>
    <cellStyle name="输入 3" xfId="612"/>
    <cellStyle name="输入 4" xfId="613"/>
    <cellStyle name="输入 5" xfId="614"/>
    <cellStyle name="输入 6" xfId="615"/>
    <cellStyle name="输入 7" xfId="616"/>
    <cellStyle name="输入 8" xfId="617"/>
    <cellStyle name="输入 9" xfId="618"/>
    <cellStyle name="样式 1" xfId="619"/>
    <cellStyle name="样式 1 2" xfId="620"/>
    <cellStyle name="注释 10" xfId="621"/>
    <cellStyle name="注释 11" xfId="622"/>
    <cellStyle name="注释 12" xfId="623"/>
    <cellStyle name="注释 13" xfId="624"/>
    <cellStyle name="注释 14" xfId="625"/>
    <cellStyle name="注释 2" xfId="626"/>
    <cellStyle name="注释 3" xfId="627"/>
    <cellStyle name="注释 4" xfId="628"/>
    <cellStyle name="注释 5" xfId="629"/>
    <cellStyle name="注释 6" xfId="630"/>
    <cellStyle name="注释 7" xfId="631"/>
    <cellStyle name="注释 8" xfId="632"/>
    <cellStyle name="注释 9" xfId="633"/>
    <cellStyle name="Normal_表2" xfId="63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037;&#20316;2\20210330%20&#20154;&#27665;&#24191;&#22330;&#25253;&#35268;&#24635;&#22270;\&#33831;&#23665;&#20154;&#27665;&#24191;&#22330;&#22320;&#19979;&#23460;&#26080;&#32447;&#23460;&#20998;&#31995;&#32479;-&#31227;&#21160;\&#33831;&#23665;&#20154;&#27665;&#24191;&#22330;&#22320;&#19979;&#23460;LTE&#23460;&#20998;&#39044;&#31639;20&#24180;&#29256;-&#26477;&#24030;&#29256;&#26412;v1.7-&#20013;&#31227;&#24314;-2021033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4%20&#24037;&#20316;\1%20&#22806;&#21521;&#24037;&#20316;\20210330%20&#20154;&#27665;&#24191;&#22330;&#25253;&#35268;&#24635;&#22270;\&#33831;&#23665;&#20154;&#27665;&#24191;&#22330;&#22320;&#19979;&#23460;&#26080;&#32447;&#23460;&#20998;&#31995;&#32479;-&#31227;&#21160;\&#33831;&#23665;&#20154;&#27665;&#24191;&#22330;&#22320;&#19979;&#23460;LTE&#23460;&#20998;&#39044;&#31639;20&#24180;&#29256;-&#26477;&#24030;&#29256;&#26412;v1.7-&#20013;&#31227;&#24314;-2021033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"/>
      <sheetName val="使用说明"/>
      <sheetName val="数据库信息生成表"/>
      <sheetName val="项目信息"/>
      <sheetName val="汇总表"/>
      <sheetName val="材料输入"/>
      <sheetName val="单站物资输出"/>
      <sheetName val="单站投资输出"/>
      <sheetName val="纯工程量部分"/>
      <sheetName val="表三甲定额库"/>
      <sheetName val="表三乙定额库"/>
      <sheetName val="表三丙定额库"/>
      <sheetName val="馈线明细统计表"/>
      <sheetName val="平台物资导入表"/>
      <sheetName val="表一"/>
      <sheetName val="表一(折扣）"/>
      <sheetName val="表二（折扣）"/>
      <sheetName val="表二折前"/>
      <sheetName val="表三甲"/>
      <sheetName val="表三丙"/>
      <sheetName val="表三乙"/>
      <sheetName val="表四甲设备表"/>
      <sheetName val="表四甲主材表"/>
      <sheetName val="表四甲设备打印"/>
      <sheetName val="表四甲不需安装设备表"/>
      <sheetName val="表四甲设备(利旧)打印"/>
      <sheetName val="表四甲主材打印"/>
      <sheetName val="表四甲主材(利旧）打印"/>
      <sheetName val="表五"/>
      <sheetName val="表四甲设备过程"/>
      <sheetName val="表五（折扣）"/>
      <sheetName val="表五打印"/>
      <sheetName val="华为软件费"/>
      <sheetName val="中兴软件费"/>
      <sheetName val="中移建投资台账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"/>
      <sheetName val="使用说明"/>
      <sheetName val="数据库信息生成表"/>
      <sheetName val="项目信息"/>
      <sheetName val="汇总表"/>
      <sheetName val="材料输入"/>
      <sheetName val="单站物资输出"/>
      <sheetName val="单站投资输出"/>
      <sheetName val="纯工程量部分"/>
      <sheetName val="表三甲定额库"/>
      <sheetName val="表三乙定额库"/>
      <sheetName val="表三丙定额库"/>
      <sheetName val="馈线明细统计表"/>
      <sheetName val="平台物资导入表"/>
      <sheetName val="表一"/>
      <sheetName val="表一(折扣）"/>
      <sheetName val="表二（折扣）"/>
      <sheetName val="表二折前"/>
      <sheetName val="表三甲"/>
      <sheetName val="表三丙"/>
      <sheetName val="表三乙"/>
      <sheetName val="表四甲设备表"/>
      <sheetName val="表四甲主材表"/>
      <sheetName val="表四甲设备打印"/>
      <sheetName val="表四甲不需安装设备表"/>
      <sheetName val="表四甲设备(利旧)打印"/>
      <sheetName val="表四甲主材打印"/>
      <sheetName val="表四甲主材(利旧）打印"/>
      <sheetName val="表五"/>
      <sheetName val="表四甲设备过程"/>
      <sheetName val="表五（折扣）"/>
      <sheetName val="表五打印"/>
      <sheetName val="华为软件费"/>
      <sheetName val="中兴软件费"/>
      <sheetName val="中移建投资台账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9"/>
  <sheetViews>
    <sheetView view="pageBreakPreview" zoomScaleNormal="100" workbookViewId="0">
      <selection activeCell="J14" sqref="J14"/>
    </sheetView>
  </sheetViews>
  <sheetFormatPr defaultColWidth="8.90833333333333" defaultRowHeight="13.5"/>
  <cols>
    <col min="1" max="1" width="5.5" customWidth="1"/>
    <col min="2" max="2" width="9.125" customWidth="1"/>
    <col min="3" max="3" width="19.625" customWidth="1"/>
    <col min="4" max="4" width="7.09166666666667" hidden="1" customWidth="1"/>
    <col min="5" max="5" width="9.20833333333333" customWidth="1"/>
    <col min="6" max="6" width="8.35833333333333" hidden="1" customWidth="1"/>
    <col min="7" max="8" width="9.20833333333333" customWidth="1"/>
    <col min="9" max="9" width="4.26666666666667" hidden="1" customWidth="1"/>
    <col min="10" max="12" width="9.20833333333333" customWidth="1"/>
    <col min="13" max="13" width="8.90833333333333" hidden="1" customWidth="1"/>
    <col min="14" max="14" width="7.09166666666667" hidden="1" customWidth="1"/>
    <col min="15" max="15" width="9.20833333333333" customWidth="1"/>
    <col min="16" max="16" width="8.35833333333333" hidden="1" customWidth="1"/>
    <col min="17" max="18" width="9.20833333333333" customWidth="1"/>
    <col min="19" max="19" width="4.26666666666667" hidden="1" customWidth="1"/>
    <col min="20" max="22" width="9.20833333333333" customWidth="1"/>
    <col min="23" max="23" width="8.90833333333333" hidden="1" customWidth="1"/>
    <col min="24" max="25" width="9.20833333333333" customWidth="1"/>
    <col min="26" max="26" width="12.625"/>
  </cols>
  <sheetData>
    <row r="1" s="226" customFormat="1" ht="36.95" customHeight="1" spans="1:2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="305" customFormat="1" ht="15" customHeight="1" spans="1:25">
      <c r="A2" s="307" t="s">
        <v>1</v>
      </c>
      <c r="B2" s="308"/>
      <c r="C2" s="308"/>
      <c r="D2" s="308"/>
      <c r="E2" s="308"/>
      <c r="F2" s="308"/>
      <c r="G2" s="309"/>
      <c r="H2" s="309"/>
      <c r="I2" s="308"/>
      <c r="J2" s="344"/>
      <c r="K2" s="344"/>
      <c r="L2" s="344"/>
      <c r="M2" s="345" t="s">
        <v>2</v>
      </c>
      <c r="N2" s="308"/>
      <c r="O2" s="308"/>
      <c r="P2" s="308"/>
      <c r="Q2" s="309"/>
      <c r="R2" s="309"/>
      <c r="S2" s="308"/>
      <c r="T2" s="344"/>
      <c r="U2" s="344"/>
      <c r="V2" s="344"/>
      <c r="W2" s="345" t="s">
        <v>2</v>
      </c>
      <c r="X2" s="351" t="s">
        <v>3</v>
      </c>
      <c r="Y2" s="351"/>
    </row>
    <row r="3" ht="18" customHeight="1" spans="1:25">
      <c r="A3" s="310" t="s">
        <v>4</v>
      </c>
      <c r="B3" s="311" t="s">
        <v>5</v>
      </c>
      <c r="C3" s="311" t="s">
        <v>6</v>
      </c>
      <c r="D3" s="312"/>
      <c r="E3" s="313" t="s">
        <v>7</v>
      </c>
      <c r="F3" s="313"/>
      <c r="G3" s="313"/>
      <c r="H3" s="313"/>
      <c r="I3" s="313"/>
      <c r="J3" s="313"/>
      <c r="K3" s="313"/>
      <c r="L3" s="313"/>
      <c r="M3" s="346"/>
      <c r="N3" s="312"/>
      <c r="O3" s="313" t="s">
        <v>8</v>
      </c>
      <c r="P3" s="313"/>
      <c r="Q3" s="313"/>
      <c r="R3" s="313"/>
      <c r="S3" s="313"/>
      <c r="T3" s="313"/>
      <c r="U3" s="313"/>
      <c r="V3" s="313"/>
      <c r="W3" s="346"/>
      <c r="X3" s="352" t="s">
        <v>9</v>
      </c>
      <c r="Y3" s="352" t="s">
        <v>10</v>
      </c>
    </row>
    <row r="4" ht="32" customHeight="1" spans="1:25">
      <c r="A4" s="314"/>
      <c r="B4" s="315"/>
      <c r="C4" s="315"/>
      <c r="D4" s="316" t="s">
        <v>11</v>
      </c>
      <c r="E4" s="310" t="s">
        <v>12</v>
      </c>
      <c r="F4" s="316" t="s">
        <v>13</v>
      </c>
      <c r="G4" s="317" t="s">
        <v>14</v>
      </c>
      <c r="H4" s="318" t="s">
        <v>15</v>
      </c>
      <c r="I4" s="347" t="s">
        <v>16</v>
      </c>
      <c r="J4" s="321" t="s">
        <v>17</v>
      </c>
      <c r="K4" s="321"/>
      <c r="L4" s="321"/>
      <c r="M4" s="321"/>
      <c r="N4" s="316" t="s">
        <v>11</v>
      </c>
      <c r="O4" s="310" t="s">
        <v>12</v>
      </c>
      <c r="P4" s="316" t="s">
        <v>13</v>
      </c>
      <c r="Q4" s="317" t="s">
        <v>14</v>
      </c>
      <c r="R4" s="318" t="s">
        <v>15</v>
      </c>
      <c r="S4" s="347" t="s">
        <v>16</v>
      </c>
      <c r="T4" s="321" t="s">
        <v>17</v>
      </c>
      <c r="U4" s="321"/>
      <c r="V4" s="321"/>
      <c r="W4" s="321"/>
      <c r="X4" s="352"/>
      <c r="Y4" s="352"/>
    </row>
    <row r="5" ht="21" customHeight="1" spans="1:25">
      <c r="A5" s="319"/>
      <c r="B5" s="320"/>
      <c r="C5" s="320"/>
      <c r="D5" s="321" t="s">
        <v>18</v>
      </c>
      <c r="E5" s="319"/>
      <c r="F5" s="321"/>
      <c r="G5" s="322"/>
      <c r="H5" s="323"/>
      <c r="I5" s="321"/>
      <c r="J5" s="348" t="s">
        <v>19</v>
      </c>
      <c r="K5" s="348" t="s">
        <v>20</v>
      </c>
      <c r="L5" s="348" t="s">
        <v>21</v>
      </c>
      <c r="M5" s="347" t="s">
        <v>22</v>
      </c>
      <c r="N5" s="321" t="s">
        <v>18</v>
      </c>
      <c r="O5" s="319"/>
      <c r="P5" s="321"/>
      <c r="Q5" s="322"/>
      <c r="R5" s="323"/>
      <c r="S5" s="321"/>
      <c r="T5" s="348" t="s">
        <v>19</v>
      </c>
      <c r="U5" s="348" t="s">
        <v>20</v>
      </c>
      <c r="V5" s="348" t="s">
        <v>21</v>
      </c>
      <c r="W5" s="347" t="s">
        <v>22</v>
      </c>
      <c r="X5" s="352"/>
      <c r="Y5" s="352"/>
    </row>
    <row r="6" ht="25" customHeight="1" spans="1:25">
      <c r="A6" s="324">
        <v>1</v>
      </c>
      <c r="B6" s="325" t="s">
        <v>23</v>
      </c>
      <c r="C6" s="326" t="s">
        <v>24</v>
      </c>
      <c r="D6" s="327"/>
      <c r="E6" s="328">
        <f>'表四甲 主设备'!G27</f>
        <v>884049.150383752</v>
      </c>
      <c r="F6" s="328"/>
      <c r="G6" s="328"/>
      <c r="H6" s="328"/>
      <c r="I6" s="328"/>
      <c r="J6" s="328">
        <f>E6</f>
        <v>884049.150383752</v>
      </c>
      <c r="K6" s="328">
        <f>J6*0.09</f>
        <v>79564.4235345377</v>
      </c>
      <c r="L6" s="331">
        <f>J6+K6</f>
        <v>963613.57391829</v>
      </c>
      <c r="M6" s="349"/>
      <c r="N6" s="349"/>
      <c r="O6" s="328">
        <f>'表四甲-设备'!L25</f>
        <v>884049.150383752</v>
      </c>
      <c r="P6" s="328"/>
      <c r="Q6" s="328"/>
      <c r="R6" s="328"/>
      <c r="S6" s="328"/>
      <c r="T6" s="328">
        <f>O6</f>
        <v>884049.150383752</v>
      </c>
      <c r="U6" s="328">
        <f>T6*0.09</f>
        <v>79564.4235345377</v>
      </c>
      <c r="V6" s="331">
        <f>T6+U6</f>
        <v>963613.57391829</v>
      </c>
      <c r="W6" s="349"/>
      <c r="X6" s="353"/>
      <c r="Y6" s="353">
        <f>L6-V6</f>
        <v>0</v>
      </c>
    </row>
    <row r="7" ht="25" customHeight="1" spans="1:25">
      <c r="A7" s="324">
        <v>2</v>
      </c>
      <c r="B7" s="325" t="s">
        <v>25</v>
      </c>
      <c r="C7" s="326" t="s">
        <v>14</v>
      </c>
      <c r="D7" s="327"/>
      <c r="E7" s="328"/>
      <c r="F7" s="328"/>
      <c r="G7" s="328">
        <f>'表二(451)'!D6</f>
        <v>1338228.62259071</v>
      </c>
      <c r="H7" s="328"/>
      <c r="I7" s="328"/>
      <c r="J7" s="328">
        <f>G7</f>
        <v>1338228.62259071</v>
      </c>
      <c r="K7" s="328">
        <f>J7*0.09</f>
        <v>120440.576033164</v>
      </c>
      <c r="L7" s="331">
        <f>J7+K7</f>
        <v>1458669.19862387</v>
      </c>
      <c r="M7" s="349"/>
      <c r="N7" s="349"/>
      <c r="O7" s="328"/>
      <c r="P7" s="328"/>
      <c r="Q7" s="328">
        <f>表二!E5</f>
        <v>1197241.16658906</v>
      </c>
      <c r="R7" s="328"/>
      <c r="S7" s="328"/>
      <c r="T7" s="328">
        <f>Q7</f>
        <v>1197241.16658906</v>
      </c>
      <c r="U7" s="328">
        <f>T7*0.09</f>
        <v>107751.704993015</v>
      </c>
      <c r="V7" s="331">
        <f>T7+U7</f>
        <v>1304992.87158207</v>
      </c>
      <c r="W7" s="349"/>
      <c r="X7" s="353"/>
      <c r="Y7" s="353">
        <f>L7-V7</f>
        <v>153676.327041797</v>
      </c>
    </row>
    <row r="8" ht="25" customHeight="1" spans="1:25">
      <c r="A8" s="324">
        <v>3</v>
      </c>
      <c r="B8" s="325" t="s">
        <v>26</v>
      </c>
      <c r="C8" s="325" t="s">
        <v>27</v>
      </c>
      <c r="D8" s="325"/>
      <c r="E8" s="328"/>
      <c r="F8" s="328"/>
      <c r="G8" s="328"/>
      <c r="H8" s="328">
        <f>表五!D20</f>
        <v>86984.8604683959</v>
      </c>
      <c r="I8" s="328"/>
      <c r="J8" s="328">
        <f>H8</f>
        <v>86984.8604683959</v>
      </c>
      <c r="K8" s="328">
        <f>J8*0.09</f>
        <v>7828.63744215563</v>
      </c>
      <c r="L8" s="331">
        <f>J8+K8</f>
        <v>94813.4979105515</v>
      </c>
      <c r="M8" s="349"/>
      <c r="N8" s="349"/>
      <c r="O8" s="328"/>
      <c r="P8" s="328"/>
      <c r="Q8" s="328"/>
      <c r="R8" s="328">
        <f>表五!G20</f>
        <v>60580.4030294064</v>
      </c>
      <c r="S8" s="328"/>
      <c r="T8" s="328">
        <f>R8</f>
        <v>60580.4030294064</v>
      </c>
      <c r="U8" s="328">
        <f>T8*0.09</f>
        <v>5452.23627264658</v>
      </c>
      <c r="V8" s="331">
        <f>T8+U8</f>
        <v>66032.639302053</v>
      </c>
      <c r="W8" s="349"/>
      <c r="X8" s="353"/>
      <c r="Y8" s="353">
        <f>L8-V8-1</f>
        <v>28779.8586084985</v>
      </c>
    </row>
    <row r="9" ht="25" customHeight="1" spans="1:25">
      <c r="A9" s="324">
        <v>4</v>
      </c>
      <c r="B9" s="325"/>
      <c r="C9" s="325" t="s">
        <v>28</v>
      </c>
      <c r="D9" s="329">
        <f t="shared" ref="D9:L9" si="0">SUM(D6:D8)</f>
        <v>0</v>
      </c>
      <c r="E9" s="328">
        <f t="shared" si="0"/>
        <v>884049.150383752</v>
      </c>
      <c r="F9" s="328"/>
      <c r="G9" s="328">
        <f t="shared" si="0"/>
        <v>1338228.62259071</v>
      </c>
      <c r="H9" s="328">
        <f t="shared" si="0"/>
        <v>86984.8604683959</v>
      </c>
      <c r="I9" s="328"/>
      <c r="J9" s="328">
        <f t="shared" si="0"/>
        <v>2309262.63344286</v>
      </c>
      <c r="K9" s="328">
        <f t="shared" si="0"/>
        <v>207833.637009857</v>
      </c>
      <c r="L9" s="328">
        <f t="shared" si="0"/>
        <v>2517096.27045271</v>
      </c>
      <c r="M9" s="328"/>
      <c r="N9" s="328">
        <f>SUM(N6:N8)</f>
        <v>0</v>
      </c>
      <c r="O9" s="328">
        <f>SUM(O6:O8)</f>
        <v>884049.150383752</v>
      </c>
      <c r="P9" s="328"/>
      <c r="Q9" s="328">
        <f>SUM(Q6:Q8)</f>
        <v>1197241.16658906</v>
      </c>
      <c r="R9" s="328">
        <f>SUM(R6:R8)</f>
        <v>60580.4030294064</v>
      </c>
      <c r="S9" s="328"/>
      <c r="T9" s="328">
        <f>SUM(T6:T8)</f>
        <v>2141870.72000222</v>
      </c>
      <c r="U9" s="328">
        <f>SUM(U6:U8)</f>
        <v>192768.364800199</v>
      </c>
      <c r="V9" s="328">
        <f>SUM(V6:V8)</f>
        <v>2334639.08480241</v>
      </c>
      <c r="W9" s="328"/>
      <c r="X9" s="353"/>
      <c r="Y9" s="353">
        <f>L9-V9</f>
        <v>182457.185650299</v>
      </c>
    </row>
    <row r="10" ht="25" customHeight="1" spans="1:25">
      <c r="A10" s="324">
        <v>5</v>
      </c>
      <c r="B10" s="324"/>
      <c r="C10" s="330" t="s">
        <v>29</v>
      </c>
      <c r="D10" s="324"/>
      <c r="E10" s="331">
        <f>E9</f>
        <v>884049.150383752</v>
      </c>
      <c r="F10" s="331"/>
      <c r="G10" s="331">
        <f>G9</f>
        <v>1338228.62259071</v>
      </c>
      <c r="H10" s="331">
        <f>H9</f>
        <v>86984.8604683959</v>
      </c>
      <c r="I10" s="331"/>
      <c r="J10" s="331">
        <f>J9</f>
        <v>2309262.63344286</v>
      </c>
      <c r="K10" s="331">
        <f>K9</f>
        <v>207833.637009857</v>
      </c>
      <c r="L10" s="331">
        <f>L9</f>
        <v>2517096.27045271</v>
      </c>
      <c r="M10" s="331"/>
      <c r="N10" s="331"/>
      <c r="O10" s="331">
        <f>O9*0.92</f>
        <v>813325.218353052</v>
      </c>
      <c r="P10" s="331"/>
      <c r="Q10" s="331">
        <f>Q9*0.92</f>
        <v>1101461.87326193</v>
      </c>
      <c r="R10" s="331">
        <f>R9*0.92</f>
        <v>55733.9707870539</v>
      </c>
      <c r="S10" s="331"/>
      <c r="T10" s="331">
        <f>T9*0.92</f>
        <v>1970521.06240204</v>
      </c>
      <c r="U10" s="331">
        <f>U9*0.92</f>
        <v>177346.895616183</v>
      </c>
      <c r="V10" s="331">
        <f>T10+U10</f>
        <v>2147867.95801822</v>
      </c>
      <c r="W10" s="331"/>
      <c r="X10" s="331"/>
      <c r="Y10" s="353">
        <f>L10-V10</f>
        <v>369228.312434487</v>
      </c>
    </row>
    <row r="11" spans="1:25">
      <c r="A11" s="332"/>
      <c r="B11" s="333"/>
      <c r="C11" s="334"/>
      <c r="D11" s="335"/>
      <c r="E11" s="335"/>
      <c r="F11" s="336"/>
      <c r="G11" s="337"/>
      <c r="H11" s="337"/>
      <c r="I11" s="335"/>
      <c r="J11" s="337"/>
      <c r="K11" s="337"/>
      <c r="L11" s="337"/>
      <c r="M11" s="335"/>
      <c r="N11" s="335"/>
      <c r="O11" s="335"/>
      <c r="P11" s="336"/>
      <c r="Q11" s="337"/>
      <c r="R11" s="337"/>
      <c r="S11" s="335"/>
      <c r="T11" s="337"/>
      <c r="U11" s="337"/>
      <c r="V11" s="337"/>
      <c r="W11" s="335"/>
      <c r="Y11" s="353"/>
    </row>
    <row r="12" spans="1:23">
      <c r="A12" s="332" t="s">
        <v>30</v>
      </c>
      <c r="B12" s="333"/>
      <c r="C12" s="333"/>
      <c r="D12" s="335"/>
      <c r="E12" s="335"/>
      <c r="F12" s="335"/>
      <c r="G12" s="338"/>
      <c r="H12" s="335"/>
      <c r="I12" s="335"/>
      <c r="J12" s="335"/>
      <c r="K12" s="335"/>
      <c r="L12" s="335"/>
      <c r="M12" s="335"/>
      <c r="N12" s="335"/>
      <c r="O12" s="335"/>
      <c r="P12" s="335"/>
      <c r="Q12" s="338"/>
      <c r="R12" s="335"/>
      <c r="S12" s="335"/>
      <c r="T12" s="335"/>
      <c r="U12" s="335"/>
      <c r="V12" s="335"/>
      <c r="W12" s="335"/>
    </row>
    <row r="13" spans="1:23">
      <c r="A13" s="339" t="s">
        <v>30</v>
      </c>
      <c r="B13" s="333"/>
      <c r="C13" s="333"/>
      <c r="D13" s="335"/>
      <c r="E13" s="335"/>
      <c r="F13" s="335"/>
      <c r="G13" s="338"/>
      <c r="H13" s="335"/>
      <c r="I13" s="335"/>
      <c r="J13" s="335"/>
      <c r="K13" s="335"/>
      <c r="L13" s="335"/>
      <c r="M13" s="335"/>
      <c r="N13" s="335"/>
      <c r="O13" s="335"/>
      <c r="P13" s="335"/>
      <c r="Q13" s="338"/>
      <c r="R13" s="335"/>
      <c r="S13" s="335"/>
      <c r="T13" s="335"/>
      <c r="U13" s="335"/>
      <c r="V13" s="335"/>
      <c r="W13" s="335"/>
    </row>
    <row r="14" spans="1:23">
      <c r="A14" s="339" t="s">
        <v>30</v>
      </c>
      <c r="B14" s="333"/>
      <c r="C14" s="333"/>
      <c r="D14" s="335"/>
      <c r="E14" s="335"/>
      <c r="F14" s="335"/>
      <c r="G14" s="338"/>
      <c r="H14" s="335"/>
      <c r="I14" s="335"/>
      <c r="J14" s="335"/>
      <c r="K14" s="335"/>
      <c r="L14" s="335"/>
      <c r="M14" s="335"/>
      <c r="N14" s="335"/>
      <c r="O14" s="335"/>
      <c r="P14" s="335"/>
      <c r="Q14" s="338"/>
      <c r="R14" s="335"/>
      <c r="S14" s="335"/>
      <c r="T14" s="335"/>
      <c r="U14" s="335"/>
      <c r="V14" s="335"/>
      <c r="W14" s="335"/>
    </row>
    <row r="15" spans="1:23">
      <c r="A15" s="339" t="s">
        <v>30</v>
      </c>
      <c r="B15" s="333"/>
      <c r="C15" s="339" t="s">
        <v>31</v>
      </c>
      <c r="D15" s="335"/>
      <c r="E15" s="335"/>
      <c r="F15" s="335"/>
      <c r="G15" s="338"/>
      <c r="H15" s="335"/>
      <c r="I15" s="335"/>
      <c r="J15" s="335"/>
      <c r="K15" s="335"/>
      <c r="L15" s="335"/>
      <c r="M15" s="335"/>
      <c r="N15" s="335"/>
      <c r="O15" s="335"/>
      <c r="P15" s="335"/>
      <c r="Q15" s="338"/>
      <c r="R15" s="335"/>
      <c r="S15" s="335"/>
      <c r="T15" s="335"/>
      <c r="U15" s="335"/>
      <c r="V15" s="335"/>
      <c r="W15" s="335"/>
    </row>
    <row r="16" spans="1:23">
      <c r="A16" s="339" t="s">
        <v>30</v>
      </c>
      <c r="B16" s="333"/>
      <c r="C16" s="333"/>
      <c r="D16" s="335"/>
      <c r="E16" s="335"/>
      <c r="F16" s="335"/>
      <c r="G16" s="338"/>
      <c r="H16" s="335"/>
      <c r="I16" s="335"/>
      <c r="J16" s="335"/>
      <c r="K16" s="335"/>
      <c r="L16" s="335"/>
      <c r="M16" s="335"/>
      <c r="N16" s="335"/>
      <c r="O16" s="335"/>
      <c r="P16" s="335"/>
      <c r="Q16" s="338"/>
      <c r="R16" s="335"/>
      <c r="S16" s="335"/>
      <c r="T16" s="335"/>
      <c r="U16" s="335"/>
      <c r="V16" s="335"/>
      <c r="W16" s="335"/>
    </row>
    <row r="17" spans="1:23">
      <c r="A17" s="339" t="s">
        <v>30</v>
      </c>
      <c r="B17" s="333"/>
      <c r="C17" s="333"/>
      <c r="D17" s="335"/>
      <c r="E17" s="335"/>
      <c r="F17" s="335"/>
      <c r="G17" s="338"/>
      <c r="H17" s="335"/>
      <c r="I17" s="335"/>
      <c r="J17" s="335"/>
      <c r="K17" s="335"/>
      <c r="L17" s="335"/>
      <c r="M17" s="335"/>
      <c r="N17" s="335"/>
      <c r="O17" s="335"/>
      <c r="P17" s="335"/>
      <c r="Q17" s="338"/>
      <c r="R17" s="335"/>
      <c r="S17" s="335"/>
      <c r="T17" s="335"/>
      <c r="U17" s="335"/>
      <c r="V17" s="335"/>
      <c r="W17" s="335"/>
    </row>
    <row r="18" spans="1:23">
      <c r="A18" s="339" t="s">
        <v>30</v>
      </c>
      <c r="B18" s="333"/>
      <c r="C18" s="339"/>
      <c r="D18" s="335"/>
      <c r="E18" s="340"/>
      <c r="F18" s="340"/>
      <c r="G18" s="340"/>
      <c r="H18" s="341"/>
      <c r="I18" s="340"/>
      <c r="J18" s="341"/>
      <c r="K18" s="341"/>
      <c r="L18" s="341"/>
      <c r="M18" s="335"/>
      <c r="N18" s="335"/>
      <c r="O18" s="340"/>
      <c r="P18" s="340"/>
      <c r="Q18" s="340"/>
      <c r="R18" s="341"/>
      <c r="S18" s="340"/>
      <c r="T18" s="341"/>
      <c r="U18" s="341"/>
      <c r="V18" s="341"/>
      <c r="W18" s="335"/>
    </row>
    <row r="19" spans="1:23">
      <c r="A19" s="342" t="s">
        <v>32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50" t="s">
        <v>33</v>
      </c>
      <c r="N19" s="343"/>
      <c r="O19" s="343"/>
      <c r="P19" s="343"/>
      <c r="Q19" s="343"/>
      <c r="R19" s="343"/>
      <c r="S19" s="343"/>
      <c r="T19" s="343"/>
      <c r="U19" s="343"/>
      <c r="V19" s="343"/>
      <c r="W19" s="350" t="s">
        <v>33</v>
      </c>
    </row>
  </sheetData>
  <mergeCells count="15">
    <mergeCell ref="A1:Y1"/>
    <mergeCell ref="X2:Y2"/>
    <mergeCell ref="E3:L3"/>
    <mergeCell ref="O3:V3"/>
    <mergeCell ref="A3:A5"/>
    <mergeCell ref="B3:B5"/>
    <mergeCell ref="C3:C5"/>
    <mergeCell ref="E4:E5"/>
    <mergeCell ref="G4:G5"/>
    <mergeCell ref="H4:H5"/>
    <mergeCell ref="O4:O5"/>
    <mergeCell ref="Q4:Q5"/>
    <mergeCell ref="R4:R5"/>
    <mergeCell ref="X3:X5"/>
    <mergeCell ref="Y3:Y5"/>
  </mergeCells>
  <printOptions horizontalCentered="1"/>
  <pageMargins left="0.393055555555556" right="0.393055555555556" top="0.590277777777778" bottom="0.393055555555556" header="0.5" footer="0.184722222222222"/>
  <pageSetup paperSize="9" scale="86" fitToHeight="0" orientation="landscape" horizontalDpi="600"/>
  <headerFooter>
    <oddFooter>&amp;C&amp;9第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Zeros="0" view="pageBreakPreview" zoomScaleNormal="100" workbookViewId="0">
      <selection activeCell="G22" sqref="G22"/>
    </sheetView>
  </sheetViews>
  <sheetFormatPr defaultColWidth="10" defaultRowHeight="14.25"/>
  <cols>
    <col min="1" max="1" width="4.09166666666667" style="44" customWidth="1"/>
    <col min="2" max="2" width="22.8166666666667" style="44" customWidth="1"/>
    <col min="3" max="3" width="29.8166666666667" style="44" customWidth="1"/>
    <col min="4" max="4" width="6.55833333333333" style="44" customWidth="1"/>
    <col min="5" max="5" width="12.4416666666667" style="44" customWidth="1"/>
    <col min="6" max="6" width="11.3583333333333" style="44" customWidth="1"/>
    <col min="7" max="7" width="12" style="44" customWidth="1"/>
    <col min="8" max="8" width="11.6416666666667" style="44" customWidth="1"/>
    <col min="9" max="9" width="12.4416666666667" style="44" customWidth="1"/>
    <col min="10" max="10" width="7.09166666666667" style="44" customWidth="1"/>
    <col min="11" max="11" width="10.0916666666667" style="45" customWidth="1"/>
    <col min="12" max="16384" width="10" style="5"/>
  </cols>
  <sheetData>
    <row r="1" s="44" customFormat="1" ht="23.25" spans="1:11">
      <c r="A1" s="163"/>
      <c r="B1" s="46"/>
      <c r="C1" s="46"/>
      <c r="D1" s="46" t="s">
        <v>228</v>
      </c>
      <c r="E1" s="46"/>
      <c r="F1" s="46"/>
      <c r="G1" s="46"/>
      <c r="H1" s="46"/>
      <c r="I1" s="46"/>
      <c r="J1" s="46"/>
      <c r="K1" s="73"/>
    </row>
    <row r="2" s="44" customFormat="1" ht="15" spans="1:11">
      <c r="A2" s="163"/>
      <c r="B2" s="164"/>
      <c r="C2" s="164"/>
      <c r="D2" s="88" t="s">
        <v>229</v>
      </c>
      <c r="E2" s="164"/>
      <c r="F2" s="164"/>
      <c r="G2" s="164"/>
      <c r="H2" s="164"/>
      <c r="I2" s="164"/>
      <c r="J2" s="164"/>
      <c r="K2" s="73"/>
    </row>
    <row r="3" s="44" customFormat="1" ht="15" spans="1:11">
      <c r="A3" s="165" t="str">
        <f>表一!A2</f>
        <v>工程名称：杭州钱塘区下沙街道开发区电力隧道（一期二标）信号覆盖建设工程</v>
      </c>
      <c r="B3" s="165"/>
      <c r="C3" s="165"/>
      <c r="D3" s="165"/>
      <c r="E3" s="165"/>
      <c r="F3" s="165"/>
      <c r="G3" s="165"/>
      <c r="H3" s="166" t="s">
        <v>230</v>
      </c>
      <c r="I3" s="166"/>
      <c r="J3" s="166"/>
      <c r="K3" s="73"/>
    </row>
    <row r="4" s="44" customFormat="1" spans="1:11">
      <c r="A4" s="90" t="s">
        <v>231</v>
      </c>
      <c r="B4" s="92" t="s">
        <v>232</v>
      </c>
      <c r="C4" s="92" t="s">
        <v>233</v>
      </c>
      <c r="D4" s="167" t="s">
        <v>234</v>
      </c>
      <c r="E4" s="92" t="s">
        <v>235</v>
      </c>
      <c r="F4" s="168" t="s">
        <v>236</v>
      </c>
      <c r="G4" s="168" t="s">
        <v>237</v>
      </c>
      <c r="H4" s="169"/>
      <c r="I4" s="173"/>
      <c r="J4" s="122" t="s">
        <v>238</v>
      </c>
      <c r="K4" s="73"/>
    </row>
    <row r="5" s="44" customFormat="1" spans="1:11">
      <c r="A5" s="96"/>
      <c r="B5" s="97"/>
      <c r="C5" s="97"/>
      <c r="D5" s="97"/>
      <c r="E5" s="97"/>
      <c r="F5" s="142" t="s">
        <v>19</v>
      </c>
      <c r="G5" s="142" t="s">
        <v>19</v>
      </c>
      <c r="H5" s="98" t="s">
        <v>239</v>
      </c>
      <c r="I5" s="98" t="s">
        <v>240</v>
      </c>
      <c r="J5" s="123"/>
      <c r="K5" s="73"/>
    </row>
    <row r="6" s="44" customFormat="1" spans="1:11">
      <c r="A6" s="99" t="s">
        <v>241</v>
      </c>
      <c r="B6" s="100" t="s">
        <v>242</v>
      </c>
      <c r="C6" s="100" t="s">
        <v>243</v>
      </c>
      <c r="D6" s="100" t="s">
        <v>244</v>
      </c>
      <c r="E6" s="100" t="s">
        <v>245</v>
      </c>
      <c r="F6" s="101" t="s">
        <v>246</v>
      </c>
      <c r="G6" s="101" t="s">
        <v>247</v>
      </c>
      <c r="H6" s="101" t="s">
        <v>248</v>
      </c>
      <c r="I6" s="124" t="s">
        <v>249</v>
      </c>
      <c r="J6" s="125" t="s">
        <v>250</v>
      </c>
      <c r="K6" s="73"/>
    </row>
    <row r="7" s="44" customFormat="1" ht="24" spans="1:11">
      <c r="A7" s="115">
        <v>1</v>
      </c>
      <c r="B7" s="170" t="s">
        <v>251</v>
      </c>
      <c r="C7" s="171" t="s">
        <v>252</v>
      </c>
      <c r="D7" s="170" t="s">
        <v>253</v>
      </c>
      <c r="E7" s="105">
        <v>1</v>
      </c>
      <c r="F7" s="106">
        <v>36823.248</v>
      </c>
      <c r="G7" s="106">
        <f>E7*F7</f>
        <v>36823.248</v>
      </c>
      <c r="H7" s="106">
        <f>G7*9%</f>
        <v>3314.09232</v>
      </c>
      <c r="I7" s="106">
        <f>G7+H7</f>
        <v>40137.34032</v>
      </c>
      <c r="J7" s="174"/>
      <c r="K7" s="73"/>
    </row>
    <row r="8" s="44" customFormat="1" spans="1:11">
      <c r="A8" s="115">
        <v>2</v>
      </c>
      <c r="B8" s="170" t="s">
        <v>251</v>
      </c>
      <c r="C8" s="170" t="s">
        <v>254</v>
      </c>
      <c r="D8" s="170" t="s">
        <v>253</v>
      </c>
      <c r="E8" s="105">
        <v>13</v>
      </c>
      <c r="F8" s="106">
        <v>11942.7416064</v>
      </c>
      <c r="G8" s="106">
        <f>E8*F8</f>
        <v>155255.6408832</v>
      </c>
      <c r="H8" s="106">
        <f>G8*9%</f>
        <v>13973.007679488</v>
      </c>
      <c r="I8" s="106">
        <f>G8+H8</f>
        <v>169228.648562688</v>
      </c>
      <c r="J8" s="174"/>
      <c r="K8" s="73"/>
    </row>
    <row r="9" s="44" customFormat="1" ht="24" spans="1:11">
      <c r="A9" s="115">
        <v>3</v>
      </c>
      <c r="B9" s="170" t="s">
        <v>255</v>
      </c>
      <c r="C9" s="171" t="s">
        <v>252</v>
      </c>
      <c r="D9" s="170" t="s">
        <v>253</v>
      </c>
      <c r="E9" s="105">
        <v>2</v>
      </c>
      <c r="F9" s="106">
        <v>26302.32</v>
      </c>
      <c r="G9" s="106">
        <f t="shared" ref="G9:G14" si="0">E9*F9</f>
        <v>52604.64</v>
      </c>
      <c r="H9" s="106">
        <f t="shared" ref="H9:H14" si="1">G9*9%</f>
        <v>4734.4176</v>
      </c>
      <c r="I9" s="106">
        <f t="shared" ref="I9:I14" si="2">G9+H9</f>
        <v>57339.0576</v>
      </c>
      <c r="J9" s="76"/>
      <c r="K9" s="73"/>
    </row>
    <row r="10" s="44" customFormat="1" spans="1:11">
      <c r="A10" s="115">
        <v>4</v>
      </c>
      <c r="B10" s="170" t="s">
        <v>255</v>
      </c>
      <c r="C10" s="170" t="s">
        <v>254</v>
      </c>
      <c r="D10" s="170" t="s">
        <v>253</v>
      </c>
      <c r="E10" s="105">
        <v>13</v>
      </c>
      <c r="F10" s="106">
        <v>30792.96</v>
      </c>
      <c r="G10" s="106">
        <f t="shared" si="0"/>
        <v>400308.48</v>
      </c>
      <c r="H10" s="106">
        <f t="shared" si="1"/>
        <v>36027.7632</v>
      </c>
      <c r="I10" s="106">
        <f t="shared" si="2"/>
        <v>436336.2432</v>
      </c>
      <c r="J10" s="76"/>
      <c r="K10" s="73"/>
    </row>
    <row r="11" s="44" customFormat="1" ht="19" customHeight="1" spans="1:11">
      <c r="A11" s="115">
        <v>5</v>
      </c>
      <c r="B11" s="170" t="s">
        <v>256</v>
      </c>
      <c r="C11" s="170" t="s">
        <v>257</v>
      </c>
      <c r="D11" s="170" t="s">
        <v>175</v>
      </c>
      <c r="E11" s="105">
        <v>26</v>
      </c>
      <c r="F11" s="106">
        <v>5895.5688</v>
      </c>
      <c r="G11" s="106">
        <f t="shared" si="0"/>
        <v>153284.7888</v>
      </c>
      <c r="H11" s="106">
        <f t="shared" si="1"/>
        <v>13795.630992</v>
      </c>
      <c r="I11" s="106">
        <f t="shared" si="2"/>
        <v>167080.419792</v>
      </c>
      <c r="J11" s="76"/>
      <c r="K11" s="73"/>
    </row>
    <row r="12" s="44" customFormat="1" spans="1:11">
      <c r="A12" s="115">
        <v>6</v>
      </c>
      <c r="B12" s="170" t="s">
        <v>258</v>
      </c>
      <c r="C12" s="170" t="s">
        <v>259</v>
      </c>
      <c r="D12" s="170" t="s">
        <v>253</v>
      </c>
      <c r="E12" s="105">
        <v>52</v>
      </c>
      <c r="F12" s="106">
        <v>731.00097891216</v>
      </c>
      <c r="G12" s="106">
        <f t="shared" si="0"/>
        <v>38012.0509034323</v>
      </c>
      <c r="H12" s="106">
        <f t="shared" si="1"/>
        <v>3421.08458130891</v>
      </c>
      <c r="I12" s="106">
        <f t="shared" si="2"/>
        <v>41433.1354847412</v>
      </c>
      <c r="J12" s="76"/>
      <c r="K12" s="73"/>
    </row>
    <row r="13" s="44" customFormat="1" spans="1:11">
      <c r="A13" s="115">
        <v>7</v>
      </c>
      <c r="B13" s="170" t="s">
        <v>260</v>
      </c>
      <c r="C13" s="170" t="s">
        <v>261</v>
      </c>
      <c r="D13" s="170" t="s">
        <v>139</v>
      </c>
      <c r="E13" s="105">
        <v>104</v>
      </c>
      <c r="F13" s="106">
        <v>33.35904</v>
      </c>
      <c r="G13" s="106">
        <f t="shared" si="0"/>
        <v>3469.34016</v>
      </c>
      <c r="H13" s="106">
        <f t="shared" si="1"/>
        <v>312.2406144</v>
      </c>
      <c r="I13" s="106">
        <f t="shared" si="2"/>
        <v>3781.5807744</v>
      </c>
      <c r="J13" s="76"/>
      <c r="K13" s="73"/>
    </row>
    <row r="14" s="44" customFormat="1" spans="1:11">
      <c r="A14" s="115">
        <v>8</v>
      </c>
      <c r="B14" s="170" t="s">
        <v>262</v>
      </c>
      <c r="C14" s="170" t="s">
        <v>263</v>
      </c>
      <c r="D14" s="170" t="s">
        <v>131</v>
      </c>
      <c r="E14" s="105">
        <v>242</v>
      </c>
      <c r="F14" s="106">
        <v>10.90584</v>
      </c>
      <c r="G14" s="106">
        <f t="shared" si="0"/>
        <v>2639.21328</v>
      </c>
      <c r="H14" s="106">
        <f t="shared" si="1"/>
        <v>237.5291952</v>
      </c>
      <c r="I14" s="106">
        <f t="shared" si="2"/>
        <v>2876.7424752</v>
      </c>
      <c r="J14" s="76"/>
      <c r="K14" s="73"/>
    </row>
    <row r="15" s="44" customFormat="1" spans="1:11">
      <c r="A15" s="115">
        <v>9</v>
      </c>
      <c r="B15" s="170" t="s">
        <v>264</v>
      </c>
      <c r="C15" s="170" t="s">
        <v>265</v>
      </c>
      <c r="D15" s="170" t="s">
        <v>131</v>
      </c>
      <c r="E15" s="105">
        <v>16</v>
      </c>
      <c r="F15" s="106">
        <v>11.54736</v>
      </c>
      <c r="G15" s="106">
        <f t="shared" ref="G15:G24" si="3">E15*F15</f>
        <v>184.75776</v>
      </c>
      <c r="H15" s="106">
        <f t="shared" ref="H15:H24" si="4">G15*9%</f>
        <v>16.6281984</v>
      </c>
      <c r="I15" s="106">
        <f t="shared" ref="I15:I24" si="5">G15+H15</f>
        <v>201.3859584</v>
      </c>
      <c r="J15" s="76"/>
      <c r="K15" s="73"/>
    </row>
    <row r="16" s="44" customFormat="1" spans="1:11">
      <c r="A16" s="115">
        <v>10</v>
      </c>
      <c r="B16" s="170" t="s">
        <v>264</v>
      </c>
      <c r="C16" s="170" t="s">
        <v>266</v>
      </c>
      <c r="D16" s="170" t="s">
        <v>131</v>
      </c>
      <c r="E16" s="105">
        <v>18</v>
      </c>
      <c r="F16" s="106">
        <v>11.54736</v>
      </c>
      <c r="G16" s="106">
        <f t="shared" si="3"/>
        <v>207.85248</v>
      </c>
      <c r="H16" s="106">
        <f t="shared" si="4"/>
        <v>18.7067232</v>
      </c>
      <c r="I16" s="106">
        <f t="shared" si="5"/>
        <v>226.5592032</v>
      </c>
      <c r="J16" s="76"/>
      <c r="K16" s="73"/>
    </row>
    <row r="17" s="44" customFormat="1" spans="1:11">
      <c r="A17" s="115">
        <v>11</v>
      </c>
      <c r="B17" s="170" t="s">
        <v>264</v>
      </c>
      <c r="C17" s="170" t="s">
        <v>267</v>
      </c>
      <c r="D17" s="170" t="s">
        <v>131</v>
      </c>
      <c r="E17" s="105">
        <v>34</v>
      </c>
      <c r="F17" s="106">
        <v>11.54736</v>
      </c>
      <c r="G17" s="106">
        <f t="shared" si="3"/>
        <v>392.61024</v>
      </c>
      <c r="H17" s="106">
        <f t="shared" si="4"/>
        <v>35.3349216</v>
      </c>
      <c r="I17" s="106">
        <f t="shared" si="5"/>
        <v>427.9451616</v>
      </c>
      <c r="J17" s="76"/>
      <c r="K17" s="73"/>
    </row>
    <row r="18" s="44" customFormat="1" spans="1:11">
      <c r="A18" s="115">
        <v>12</v>
      </c>
      <c r="B18" s="170" t="s">
        <v>264</v>
      </c>
      <c r="C18" s="170" t="s">
        <v>268</v>
      </c>
      <c r="D18" s="170" t="s">
        <v>131</v>
      </c>
      <c r="E18" s="105">
        <v>40</v>
      </c>
      <c r="F18" s="106">
        <v>11.54736</v>
      </c>
      <c r="G18" s="106">
        <f t="shared" si="3"/>
        <v>461.8944</v>
      </c>
      <c r="H18" s="106">
        <f t="shared" si="4"/>
        <v>41.570496</v>
      </c>
      <c r="I18" s="106">
        <f t="shared" si="5"/>
        <v>503.464896</v>
      </c>
      <c r="J18" s="76"/>
      <c r="K18" s="73"/>
    </row>
    <row r="19" s="44" customFormat="1" spans="1:11">
      <c r="A19" s="115">
        <v>13</v>
      </c>
      <c r="B19" s="170" t="s">
        <v>264</v>
      </c>
      <c r="C19" s="170" t="s">
        <v>269</v>
      </c>
      <c r="D19" s="170" t="s">
        <v>131</v>
      </c>
      <c r="E19" s="105">
        <v>54</v>
      </c>
      <c r="F19" s="106">
        <v>11.54736</v>
      </c>
      <c r="G19" s="106">
        <f t="shared" si="3"/>
        <v>623.55744</v>
      </c>
      <c r="H19" s="106">
        <f t="shared" si="4"/>
        <v>56.1201696</v>
      </c>
      <c r="I19" s="106">
        <f t="shared" si="5"/>
        <v>679.6776096</v>
      </c>
      <c r="J19" s="76"/>
      <c r="K19" s="73"/>
    </row>
    <row r="20" s="44" customFormat="1" spans="1:11">
      <c r="A20" s="115">
        <v>14</v>
      </c>
      <c r="B20" s="170" t="s">
        <v>264</v>
      </c>
      <c r="C20" s="170" t="s">
        <v>270</v>
      </c>
      <c r="D20" s="170" t="s">
        <v>131</v>
      </c>
      <c r="E20" s="105">
        <v>50</v>
      </c>
      <c r="F20" s="106">
        <v>11.54736</v>
      </c>
      <c r="G20" s="106">
        <f t="shared" si="3"/>
        <v>577.368</v>
      </c>
      <c r="H20" s="106">
        <f t="shared" si="4"/>
        <v>51.96312</v>
      </c>
      <c r="I20" s="106">
        <f t="shared" si="5"/>
        <v>629.33112</v>
      </c>
      <c r="J20" s="76"/>
      <c r="K20" s="73"/>
    </row>
    <row r="21" s="44" customFormat="1" spans="1:11">
      <c r="A21" s="115">
        <v>15</v>
      </c>
      <c r="B21" s="170" t="s">
        <v>264</v>
      </c>
      <c r="C21" s="170" t="s">
        <v>271</v>
      </c>
      <c r="D21" s="170" t="s">
        <v>131</v>
      </c>
      <c r="E21" s="105">
        <v>22</v>
      </c>
      <c r="F21" s="106">
        <v>11.54736</v>
      </c>
      <c r="G21" s="106">
        <f t="shared" si="3"/>
        <v>254.04192</v>
      </c>
      <c r="H21" s="106">
        <f t="shared" si="4"/>
        <v>22.8637728</v>
      </c>
      <c r="I21" s="106">
        <f t="shared" si="5"/>
        <v>276.9056928</v>
      </c>
      <c r="J21" s="76"/>
      <c r="K21" s="73"/>
    </row>
    <row r="22" s="44" customFormat="1" spans="1:11">
      <c r="A22" s="115">
        <v>16</v>
      </c>
      <c r="B22" s="170" t="s">
        <v>272</v>
      </c>
      <c r="C22" s="170" t="s">
        <v>273</v>
      </c>
      <c r="D22" s="170" t="s">
        <v>157</v>
      </c>
      <c r="E22" s="105">
        <v>86</v>
      </c>
      <c r="F22" s="106">
        <v>10.58251392</v>
      </c>
      <c r="G22" s="106">
        <f t="shared" si="3"/>
        <v>910.09619712</v>
      </c>
      <c r="H22" s="106">
        <f t="shared" si="4"/>
        <v>81.9086577408</v>
      </c>
      <c r="I22" s="106">
        <f t="shared" si="5"/>
        <v>992.0048548608</v>
      </c>
      <c r="J22" s="76"/>
      <c r="K22" s="73"/>
    </row>
    <row r="23" s="44" customFormat="1" spans="1:11">
      <c r="A23" s="115">
        <v>17</v>
      </c>
      <c r="B23" s="170" t="s">
        <v>272</v>
      </c>
      <c r="C23" s="170" t="s">
        <v>274</v>
      </c>
      <c r="D23" s="170" t="s">
        <v>157</v>
      </c>
      <c r="E23" s="105">
        <v>436</v>
      </c>
      <c r="F23" s="106">
        <v>87.24672</v>
      </c>
      <c r="G23" s="106">
        <f t="shared" si="3"/>
        <v>38039.56992</v>
      </c>
      <c r="H23" s="106">
        <f t="shared" si="4"/>
        <v>3423.5612928</v>
      </c>
      <c r="I23" s="106">
        <f t="shared" si="5"/>
        <v>41463.1312128</v>
      </c>
      <c r="J23" s="76"/>
      <c r="K23" s="73"/>
    </row>
    <row r="24" s="44" customFormat="1" spans="1:11">
      <c r="A24" s="115">
        <v>18</v>
      </c>
      <c r="B24" s="100" t="s">
        <v>275</v>
      </c>
      <c r="C24" s="100"/>
      <c r="D24" s="100"/>
      <c r="E24" s="172"/>
      <c r="F24" s="106"/>
      <c r="G24" s="106">
        <f>G27*0.5%</f>
        <v>4420.24575191876</v>
      </c>
      <c r="H24" s="106"/>
      <c r="I24" s="106"/>
      <c r="J24" s="76"/>
      <c r="K24" s="73"/>
    </row>
    <row r="25" s="44" customFormat="1" spans="1:11">
      <c r="A25" s="115">
        <v>19</v>
      </c>
      <c r="B25" s="100" t="s">
        <v>276</v>
      </c>
      <c r="C25" s="100"/>
      <c r="D25" s="100"/>
      <c r="E25" s="172"/>
      <c r="F25" s="106"/>
      <c r="G25" s="106">
        <f>G27*1%</f>
        <v>8840.49150383752</v>
      </c>
      <c r="H25" s="106"/>
      <c r="I25" s="106"/>
      <c r="J25" s="76"/>
      <c r="K25" s="73"/>
    </row>
    <row r="26" s="44" customFormat="1" spans="1:11">
      <c r="A26" s="115">
        <v>20</v>
      </c>
      <c r="B26" s="100" t="s">
        <v>277</v>
      </c>
      <c r="C26" s="100"/>
      <c r="D26" s="100"/>
      <c r="E26" s="172"/>
      <c r="F26" s="106"/>
      <c r="G26" s="106">
        <f>G27*1.6%</f>
        <v>14144.78640614</v>
      </c>
      <c r="H26" s="106"/>
      <c r="I26" s="106"/>
      <c r="J26" s="76"/>
      <c r="K26" s="73"/>
    </row>
    <row r="27" s="44" customFormat="1" spans="1:11">
      <c r="A27" s="111" t="s">
        <v>30</v>
      </c>
      <c r="B27" s="100" t="s">
        <v>278</v>
      </c>
      <c r="C27" s="100"/>
      <c r="D27" s="100"/>
      <c r="E27" s="172"/>
      <c r="F27" s="106"/>
      <c r="G27" s="106">
        <f>SUM(G7:G23)</f>
        <v>884049.150383752</v>
      </c>
      <c r="H27" s="106"/>
      <c r="I27" s="106"/>
      <c r="J27" s="76"/>
      <c r="K27" s="73"/>
    </row>
    <row r="28" s="82" customFormat="1" ht="12.75" spans="1:11">
      <c r="A28" s="146" t="s">
        <v>279</v>
      </c>
      <c r="B28" s="147"/>
      <c r="C28" s="147"/>
      <c r="D28" s="147"/>
      <c r="E28" s="147"/>
      <c r="F28" s="147"/>
      <c r="G28" s="147"/>
      <c r="H28" s="147"/>
      <c r="I28" s="154" t="s">
        <v>280</v>
      </c>
      <c r="J28" s="154"/>
      <c r="K28" s="128"/>
    </row>
    <row r="31" spans="2:2">
      <c r="B31" s="149"/>
    </row>
    <row r="32" spans="2:2">
      <c r="B32" s="149"/>
    </row>
    <row r="33" spans="2:2">
      <c r="B33" s="149"/>
    </row>
  </sheetData>
  <mergeCells count="6">
    <mergeCell ref="A4:A5"/>
    <mergeCell ref="B4:B5"/>
    <mergeCell ref="C4:C5"/>
    <mergeCell ref="D4:D5"/>
    <mergeCell ref="E4:E5"/>
    <mergeCell ref="J4:J5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1"/>
  <sheetViews>
    <sheetView view="pageBreakPreview" zoomScaleNormal="100" workbookViewId="0">
      <pane ySplit="4" topLeftCell="A5" activePane="bottomLeft" state="frozen"/>
      <selection/>
      <selection pane="bottomLeft" activeCell="K9" sqref="K9"/>
    </sheetView>
  </sheetViews>
  <sheetFormatPr defaultColWidth="10" defaultRowHeight="14.25"/>
  <cols>
    <col min="1" max="1" width="4.09166666666667" style="44" customWidth="1"/>
    <col min="2" max="2" width="20.7583333333333" style="44" customWidth="1"/>
    <col min="3" max="3" width="28.625" style="44" customWidth="1"/>
    <col min="4" max="4" width="5.5" style="44" customWidth="1"/>
    <col min="5" max="6" width="9.275" style="44" customWidth="1"/>
    <col min="7" max="7" width="9.275" style="132" customWidth="1"/>
    <col min="8" max="8" width="11.6416666666667" style="44" hidden="1" customWidth="1"/>
    <col min="9" max="9" width="12.4416666666667" style="44" hidden="1" customWidth="1"/>
    <col min="10" max="11" width="9.275" style="44" customWidth="1"/>
    <col min="12" max="12" width="9.275" style="132" customWidth="1"/>
    <col min="13" max="13" width="11.6416666666667" style="44" hidden="1" customWidth="1"/>
    <col min="14" max="14" width="12.4416666666667" style="44" hidden="1" customWidth="1"/>
    <col min="15" max="15" width="9.275" style="44" customWidth="1"/>
    <col min="16" max="16" width="9.275" style="132" customWidth="1"/>
    <col min="17" max="17" width="10.0916666666667" style="45" customWidth="1"/>
    <col min="18" max="16384" width="10" style="5"/>
  </cols>
  <sheetData>
    <row r="1" s="131" customFormat="1" ht="32.1" customHeight="1" spans="1:43">
      <c r="A1" s="8" t="s">
        <v>281</v>
      </c>
      <c r="B1" s="8"/>
      <c r="C1" s="8"/>
      <c r="D1" s="8"/>
      <c r="E1" s="8"/>
      <c r="F1" s="8"/>
      <c r="G1" s="9"/>
      <c r="H1" s="8"/>
      <c r="I1" s="8"/>
      <c r="J1" s="8"/>
      <c r="K1" s="8"/>
      <c r="L1" s="9"/>
      <c r="M1" s="8"/>
      <c r="N1" s="8"/>
      <c r="O1" s="8"/>
      <c r="P1" s="9"/>
      <c r="Q1" s="156"/>
      <c r="R1" s="156"/>
      <c r="S1" s="156"/>
      <c r="T1" s="156"/>
      <c r="U1" s="156"/>
      <c r="V1" s="156"/>
      <c r="W1" s="157"/>
      <c r="X1" s="158"/>
      <c r="Y1" s="156"/>
      <c r="Z1" s="156"/>
      <c r="AA1" s="157"/>
      <c r="AB1" s="159"/>
      <c r="AC1" s="156"/>
      <c r="AD1" s="156"/>
      <c r="AE1" s="160"/>
      <c r="AF1" s="161"/>
      <c r="AG1" s="161"/>
      <c r="AH1" s="161"/>
      <c r="AI1" s="161"/>
      <c r="AJ1" s="161"/>
      <c r="AK1" s="161"/>
      <c r="AL1" s="161"/>
      <c r="AM1" s="161"/>
      <c r="AN1" s="161"/>
      <c r="AO1" s="162"/>
      <c r="AP1" s="162"/>
      <c r="AQ1" s="162"/>
    </row>
    <row r="2" s="4" customFormat="1" ht="17" customHeight="1" spans="1:43">
      <c r="A2" s="7" t="s">
        <v>1</v>
      </c>
      <c r="B2" s="7"/>
      <c r="C2" s="7"/>
      <c r="D2" s="7"/>
      <c r="E2" s="7"/>
      <c r="F2" s="8"/>
      <c r="G2" s="9"/>
      <c r="H2" s="8"/>
      <c r="I2" s="8"/>
      <c r="J2" s="8"/>
      <c r="K2" s="8"/>
      <c r="L2" s="9"/>
      <c r="M2" s="8"/>
      <c r="N2" s="8"/>
      <c r="O2" s="31" t="s">
        <v>3</v>
      </c>
      <c r="P2" s="31"/>
      <c r="Q2" s="8"/>
      <c r="R2" s="9"/>
      <c r="S2" s="8"/>
      <c r="T2" s="8"/>
      <c r="U2" s="8"/>
      <c r="V2" s="9"/>
      <c r="W2" s="9"/>
      <c r="X2" s="38"/>
      <c r="Y2" s="39"/>
      <c r="Z2" s="39"/>
      <c r="AA2" s="9"/>
      <c r="AB2" s="40"/>
      <c r="AC2" s="39"/>
      <c r="AD2" s="39"/>
      <c r="AE2" s="41"/>
      <c r="AF2" s="42"/>
      <c r="AG2" s="42"/>
      <c r="AH2" s="42"/>
      <c r="AI2" s="42"/>
      <c r="AJ2" s="42"/>
      <c r="AK2" s="42"/>
      <c r="AL2" s="42"/>
      <c r="AM2" s="42"/>
      <c r="AN2" s="42"/>
      <c r="AO2" s="43"/>
      <c r="AP2" s="43"/>
      <c r="AQ2" s="43"/>
    </row>
    <row r="3" s="44" customFormat="1" ht="20" customHeight="1" spans="1:17">
      <c r="A3" s="133" t="s">
        <v>231</v>
      </c>
      <c r="B3" s="134" t="s">
        <v>282</v>
      </c>
      <c r="C3" s="135" t="s">
        <v>233</v>
      </c>
      <c r="D3" s="135" t="s">
        <v>234</v>
      </c>
      <c r="E3" s="136" t="s">
        <v>7</v>
      </c>
      <c r="F3" s="137"/>
      <c r="G3" s="138"/>
      <c r="H3" s="98"/>
      <c r="I3" s="98"/>
      <c r="J3" s="136" t="s">
        <v>8</v>
      </c>
      <c r="K3" s="137"/>
      <c r="L3" s="138"/>
      <c r="M3" s="98"/>
      <c r="N3" s="98"/>
      <c r="O3" s="150" t="s">
        <v>9</v>
      </c>
      <c r="P3" s="151" t="s">
        <v>10</v>
      </c>
      <c r="Q3" s="73"/>
    </row>
    <row r="4" s="44" customFormat="1" ht="20" customHeight="1" spans="1:17">
      <c r="A4" s="97"/>
      <c r="B4" s="139"/>
      <c r="C4" s="140"/>
      <c r="D4" s="140"/>
      <c r="E4" s="141" t="s">
        <v>235</v>
      </c>
      <c r="F4" s="142" t="s">
        <v>283</v>
      </c>
      <c r="G4" s="143" t="s">
        <v>284</v>
      </c>
      <c r="H4" s="98" t="s">
        <v>239</v>
      </c>
      <c r="I4" s="98" t="s">
        <v>240</v>
      </c>
      <c r="J4" s="141" t="s">
        <v>235</v>
      </c>
      <c r="K4" s="142" t="s">
        <v>283</v>
      </c>
      <c r="L4" s="143" t="s">
        <v>284</v>
      </c>
      <c r="M4" s="98" t="s">
        <v>239</v>
      </c>
      <c r="N4" s="98" t="s">
        <v>240</v>
      </c>
      <c r="O4" s="152"/>
      <c r="P4" s="153"/>
      <c r="Q4" s="73"/>
    </row>
    <row r="5" s="44" customFormat="1" ht="33" customHeight="1" spans="1:17">
      <c r="A5" s="55">
        <v>1</v>
      </c>
      <c r="B5" s="52" t="s">
        <v>251</v>
      </c>
      <c r="C5" s="144" t="s">
        <v>252</v>
      </c>
      <c r="D5" s="51" t="s">
        <v>253</v>
      </c>
      <c r="E5" s="53">
        <v>1</v>
      </c>
      <c r="F5" s="54">
        <v>36823.248</v>
      </c>
      <c r="G5" s="16">
        <f t="shared" ref="G5:G21" si="0">E5*F5</f>
        <v>36823.248</v>
      </c>
      <c r="H5" s="54">
        <f t="shared" ref="H5:H21" si="1">G5*9%</f>
        <v>3314.09232</v>
      </c>
      <c r="I5" s="54">
        <f t="shared" ref="I5:I21" si="2">G5+H5</f>
        <v>40137.34032</v>
      </c>
      <c r="J5" s="53">
        <v>1</v>
      </c>
      <c r="K5" s="54">
        <v>36823.248</v>
      </c>
      <c r="L5" s="16">
        <f t="shared" ref="L5:L21" si="3">J5*K5</f>
        <v>36823.248</v>
      </c>
      <c r="M5" s="54">
        <f t="shared" ref="M5:M21" si="4">L5*9%</f>
        <v>3314.09232</v>
      </c>
      <c r="N5" s="54">
        <f t="shared" ref="N5:N21" si="5">L5+M5</f>
        <v>40137.34032</v>
      </c>
      <c r="O5" s="54"/>
      <c r="P5" s="16">
        <f>G5-L5</f>
        <v>0</v>
      </c>
      <c r="Q5" s="73"/>
    </row>
    <row r="6" s="44" customFormat="1" ht="25" customHeight="1" spans="1:17">
      <c r="A6" s="55">
        <v>2</v>
      </c>
      <c r="B6" s="52" t="s">
        <v>251</v>
      </c>
      <c r="C6" s="52" t="s">
        <v>254</v>
      </c>
      <c r="D6" s="51" t="s">
        <v>253</v>
      </c>
      <c r="E6" s="53">
        <v>13</v>
      </c>
      <c r="F6" s="54">
        <v>11942.7416064</v>
      </c>
      <c r="G6" s="16">
        <f t="shared" si="0"/>
        <v>155255.6408832</v>
      </c>
      <c r="H6" s="54">
        <f t="shared" si="1"/>
        <v>13973.007679488</v>
      </c>
      <c r="I6" s="54">
        <f t="shared" si="2"/>
        <v>169228.648562688</v>
      </c>
      <c r="J6" s="53">
        <v>13</v>
      </c>
      <c r="K6" s="54">
        <v>11942.7416064</v>
      </c>
      <c r="L6" s="16">
        <f t="shared" si="3"/>
        <v>155255.6408832</v>
      </c>
      <c r="M6" s="54">
        <f t="shared" si="4"/>
        <v>13973.007679488</v>
      </c>
      <c r="N6" s="54">
        <f t="shared" si="5"/>
        <v>169228.648562688</v>
      </c>
      <c r="O6" s="54"/>
      <c r="P6" s="16">
        <f t="shared" ref="P6:P25" si="6">G6-L6</f>
        <v>0</v>
      </c>
      <c r="Q6" s="73"/>
    </row>
    <row r="7" s="44" customFormat="1" ht="39" customHeight="1" spans="1:17">
      <c r="A7" s="55">
        <v>3</v>
      </c>
      <c r="B7" s="52" t="s">
        <v>255</v>
      </c>
      <c r="C7" s="144" t="s">
        <v>252</v>
      </c>
      <c r="D7" s="51" t="s">
        <v>253</v>
      </c>
      <c r="E7" s="53">
        <v>2</v>
      </c>
      <c r="F7" s="54">
        <v>26302.32</v>
      </c>
      <c r="G7" s="16">
        <f t="shared" si="0"/>
        <v>52604.64</v>
      </c>
      <c r="H7" s="54">
        <f t="shared" si="1"/>
        <v>4734.4176</v>
      </c>
      <c r="I7" s="54">
        <f t="shared" si="2"/>
        <v>57339.0576</v>
      </c>
      <c r="J7" s="53">
        <v>2</v>
      </c>
      <c r="K7" s="54">
        <v>26302.32</v>
      </c>
      <c r="L7" s="16">
        <f t="shared" si="3"/>
        <v>52604.64</v>
      </c>
      <c r="M7" s="54">
        <f t="shared" si="4"/>
        <v>4734.4176</v>
      </c>
      <c r="N7" s="54">
        <f t="shared" si="5"/>
        <v>57339.0576</v>
      </c>
      <c r="O7" s="54"/>
      <c r="P7" s="16">
        <f t="shared" si="6"/>
        <v>0</v>
      </c>
      <c r="Q7" s="73"/>
    </row>
    <row r="8" s="44" customFormat="1" ht="25" customHeight="1" spans="1:17">
      <c r="A8" s="55">
        <v>4</v>
      </c>
      <c r="B8" s="52" t="s">
        <v>255</v>
      </c>
      <c r="C8" s="52" t="s">
        <v>254</v>
      </c>
      <c r="D8" s="51" t="s">
        <v>253</v>
      </c>
      <c r="E8" s="53">
        <v>13</v>
      </c>
      <c r="F8" s="54">
        <v>30792.96</v>
      </c>
      <c r="G8" s="16">
        <f t="shared" si="0"/>
        <v>400308.48</v>
      </c>
      <c r="H8" s="54">
        <f t="shared" si="1"/>
        <v>36027.7632</v>
      </c>
      <c r="I8" s="54">
        <f t="shared" si="2"/>
        <v>436336.2432</v>
      </c>
      <c r="J8" s="53">
        <v>13</v>
      </c>
      <c r="K8" s="54">
        <v>30792.96</v>
      </c>
      <c r="L8" s="16">
        <f t="shared" si="3"/>
        <v>400308.48</v>
      </c>
      <c r="M8" s="54">
        <f t="shared" si="4"/>
        <v>36027.7632</v>
      </c>
      <c r="N8" s="54">
        <f t="shared" si="5"/>
        <v>436336.2432</v>
      </c>
      <c r="O8" s="54"/>
      <c r="P8" s="16">
        <f t="shared" si="6"/>
        <v>0</v>
      </c>
      <c r="Q8" s="73"/>
    </row>
    <row r="9" s="44" customFormat="1" ht="25" customHeight="1" spans="1:17">
      <c r="A9" s="55">
        <v>5</v>
      </c>
      <c r="B9" s="52" t="s">
        <v>256</v>
      </c>
      <c r="C9" s="52" t="s">
        <v>257</v>
      </c>
      <c r="D9" s="51" t="s">
        <v>175</v>
      </c>
      <c r="E9" s="53">
        <v>26</v>
      </c>
      <c r="F9" s="54">
        <v>5895.5688</v>
      </c>
      <c r="G9" s="16">
        <f t="shared" si="0"/>
        <v>153284.7888</v>
      </c>
      <c r="H9" s="54">
        <f t="shared" si="1"/>
        <v>13795.630992</v>
      </c>
      <c r="I9" s="54">
        <f t="shared" si="2"/>
        <v>167080.419792</v>
      </c>
      <c r="J9" s="53">
        <v>26</v>
      </c>
      <c r="K9" s="54">
        <v>5895.5688</v>
      </c>
      <c r="L9" s="16">
        <f t="shared" si="3"/>
        <v>153284.7888</v>
      </c>
      <c r="M9" s="54">
        <f t="shared" si="4"/>
        <v>13795.630992</v>
      </c>
      <c r="N9" s="54">
        <f t="shared" si="5"/>
        <v>167080.419792</v>
      </c>
      <c r="O9" s="54"/>
      <c r="P9" s="16">
        <f t="shared" si="6"/>
        <v>0</v>
      </c>
      <c r="Q9" s="73"/>
    </row>
    <row r="10" s="44" customFormat="1" ht="25" customHeight="1" spans="1:17">
      <c r="A10" s="55">
        <v>6</v>
      </c>
      <c r="B10" s="52" t="s">
        <v>258</v>
      </c>
      <c r="C10" s="52" t="s">
        <v>259</v>
      </c>
      <c r="D10" s="51" t="s">
        <v>253</v>
      </c>
      <c r="E10" s="53">
        <v>52</v>
      </c>
      <c r="F10" s="54">
        <v>731.00097891216</v>
      </c>
      <c r="G10" s="16">
        <f t="shared" si="0"/>
        <v>38012.0509034323</v>
      </c>
      <c r="H10" s="54">
        <f t="shared" si="1"/>
        <v>3421.08458130891</v>
      </c>
      <c r="I10" s="54">
        <f t="shared" si="2"/>
        <v>41433.1354847412</v>
      </c>
      <c r="J10" s="53">
        <v>52</v>
      </c>
      <c r="K10" s="54">
        <v>731.00097891216</v>
      </c>
      <c r="L10" s="16">
        <f t="shared" si="3"/>
        <v>38012.0509034323</v>
      </c>
      <c r="M10" s="54">
        <f t="shared" si="4"/>
        <v>3421.08458130891</v>
      </c>
      <c r="N10" s="54">
        <f t="shared" si="5"/>
        <v>41433.1354847412</v>
      </c>
      <c r="O10" s="54"/>
      <c r="P10" s="16">
        <f t="shared" si="6"/>
        <v>0</v>
      </c>
      <c r="Q10" s="73"/>
    </row>
    <row r="11" s="44" customFormat="1" ht="25" customHeight="1" spans="1:17">
      <c r="A11" s="55">
        <v>7</v>
      </c>
      <c r="B11" s="52" t="s">
        <v>260</v>
      </c>
      <c r="C11" s="52" t="s">
        <v>261</v>
      </c>
      <c r="D11" s="51" t="s">
        <v>139</v>
      </c>
      <c r="E11" s="53">
        <v>104</v>
      </c>
      <c r="F11" s="54">
        <v>33.35904</v>
      </c>
      <c r="G11" s="16">
        <f t="shared" si="0"/>
        <v>3469.34016</v>
      </c>
      <c r="H11" s="54">
        <f t="shared" si="1"/>
        <v>312.2406144</v>
      </c>
      <c r="I11" s="54">
        <f t="shared" si="2"/>
        <v>3781.5807744</v>
      </c>
      <c r="J11" s="53">
        <v>104</v>
      </c>
      <c r="K11" s="54">
        <v>33.35904</v>
      </c>
      <c r="L11" s="16">
        <f t="shared" si="3"/>
        <v>3469.34016</v>
      </c>
      <c r="M11" s="54">
        <f t="shared" si="4"/>
        <v>312.2406144</v>
      </c>
      <c r="N11" s="54">
        <f t="shared" si="5"/>
        <v>3781.5807744</v>
      </c>
      <c r="O11" s="54"/>
      <c r="P11" s="16">
        <f t="shared" si="6"/>
        <v>0</v>
      </c>
      <c r="Q11" s="73"/>
    </row>
    <row r="12" s="44" customFormat="1" ht="25" customHeight="1" spans="1:17">
      <c r="A12" s="55">
        <v>8</v>
      </c>
      <c r="B12" s="52" t="s">
        <v>262</v>
      </c>
      <c r="C12" s="52" t="s">
        <v>263</v>
      </c>
      <c r="D12" s="51" t="s">
        <v>131</v>
      </c>
      <c r="E12" s="53">
        <v>242</v>
      </c>
      <c r="F12" s="54">
        <v>10.90584</v>
      </c>
      <c r="G12" s="16">
        <f t="shared" si="0"/>
        <v>2639.21328</v>
      </c>
      <c r="H12" s="54">
        <f t="shared" si="1"/>
        <v>237.5291952</v>
      </c>
      <c r="I12" s="54">
        <f t="shared" si="2"/>
        <v>2876.7424752</v>
      </c>
      <c r="J12" s="53">
        <v>242</v>
      </c>
      <c r="K12" s="54">
        <v>10.90584</v>
      </c>
      <c r="L12" s="16">
        <f t="shared" si="3"/>
        <v>2639.21328</v>
      </c>
      <c r="M12" s="54">
        <f t="shared" si="4"/>
        <v>237.5291952</v>
      </c>
      <c r="N12" s="54">
        <f t="shared" si="5"/>
        <v>2876.7424752</v>
      </c>
      <c r="O12" s="54"/>
      <c r="P12" s="16">
        <f t="shared" si="6"/>
        <v>0</v>
      </c>
      <c r="Q12" s="73"/>
    </row>
    <row r="13" s="44" customFormat="1" ht="25" customHeight="1" spans="1:17">
      <c r="A13" s="55">
        <v>9</v>
      </c>
      <c r="B13" s="52" t="s">
        <v>264</v>
      </c>
      <c r="C13" s="52" t="s">
        <v>265</v>
      </c>
      <c r="D13" s="51" t="s">
        <v>131</v>
      </c>
      <c r="E13" s="53">
        <v>16</v>
      </c>
      <c r="F13" s="54">
        <v>11.54736</v>
      </c>
      <c r="G13" s="16">
        <f t="shared" si="0"/>
        <v>184.75776</v>
      </c>
      <c r="H13" s="54">
        <f t="shared" si="1"/>
        <v>16.6281984</v>
      </c>
      <c r="I13" s="54">
        <f t="shared" si="2"/>
        <v>201.3859584</v>
      </c>
      <c r="J13" s="53">
        <v>16</v>
      </c>
      <c r="K13" s="54">
        <v>11.54736</v>
      </c>
      <c r="L13" s="16">
        <f t="shared" si="3"/>
        <v>184.75776</v>
      </c>
      <c r="M13" s="54">
        <f t="shared" si="4"/>
        <v>16.6281984</v>
      </c>
      <c r="N13" s="54">
        <f t="shared" si="5"/>
        <v>201.3859584</v>
      </c>
      <c r="O13" s="54"/>
      <c r="P13" s="16">
        <f t="shared" si="6"/>
        <v>0</v>
      </c>
      <c r="Q13" s="73"/>
    </row>
    <row r="14" s="44" customFormat="1" ht="25" customHeight="1" spans="1:17">
      <c r="A14" s="55">
        <v>10</v>
      </c>
      <c r="B14" s="52" t="s">
        <v>264</v>
      </c>
      <c r="C14" s="52" t="s">
        <v>266</v>
      </c>
      <c r="D14" s="51" t="s">
        <v>131</v>
      </c>
      <c r="E14" s="53">
        <v>18</v>
      </c>
      <c r="F14" s="54">
        <v>11.54736</v>
      </c>
      <c r="G14" s="16">
        <f t="shared" si="0"/>
        <v>207.85248</v>
      </c>
      <c r="H14" s="54">
        <f t="shared" si="1"/>
        <v>18.7067232</v>
      </c>
      <c r="I14" s="54">
        <f t="shared" si="2"/>
        <v>226.5592032</v>
      </c>
      <c r="J14" s="53">
        <v>18</v>
      </c>
      <c r="K14" s="54">
        <v>11.54736</v>
      </c>
      <c r="L14" s="16">
        <f t="shared" si="3"/>
        <v>207.85248</v>
      </c>
      <c r="M14" s="54">
        <f t="shared" si="4"/>
        <v>18.7067232</v>
      </c>
      <c r="N14" s="54">
        <f t="shared" si="5"/>
        <v>226.5592032</v>
      </c>
      <c r="O14" s="54"/>
      <c r="P14" s="16">
        <f t="shared" si="6"/>
        <v>0</v>
      </c>
      <c r="Q14" s="73"/>
    </row>
    <row r="15" s="44" customFormat="1" ht="25" customHeight="1" spans="1:17">
      <c r="A15" s="55">
        <v>11</v>
      </c>
      <c r="B15" s="52" t="s">
        <v>264</v>
      </c>
      <c r="C15" s="52" t="s">
        <v>267</v>
      </c>
      <c r="D15" s="51" t="s">
        <v>131</v>
      </c>
      <c r="E15" s="53">
        <v>34</v>
      </c>
      <c r="F15" s="54">
        <v>11.54736</v>
      </c>
      <c r="G15" s="16">
        <f t="shared" si="0"/>
        <v>392.61024</v>
      </c>
      <c r="H15" s="54">
        <f t="shared" si="1"/>
        <v>35.3349216</v>
      </c>
      <c r="I15" s="54">
        <f t="shared" si="2"/>
        <v>427.9451616</v>
      </c>
      <c r="J15" s="53">
        <v>34</v>
      </c>
      <c r="K15" s="54">
        <v>11.54736</v>
      </c>
      <c r="L15" s="16">
        <f t="shared" si="3"/>
        <v>392.61024</v>
      </c>
      <c r="M15" s="54">
        <f t="shared" si="4"/>
        <v>35.3349216</v>
      </c>
      <c r="N15" s="54">
        <f t="shared" si="5"/>
        <v>427.9451616</v>
      </c>
      <c r="O15" s="54"/>
      <c r="P15" s="16">
        <f t="shared" si="6"/>
        <v>0</v>
      </c>
      <c r="Q15" s="73"/>
    </row>
    <row r="16" s="44" customFormat="1" ht="25" customHeight="1" spans="1:17">
      <c r="A16" s="55">
        <v>12</v>
      </c>
      <c r="B16" s="52" t="s">
        <v>264</v>
      </c>
      <c r="C16" s="52" t="s">
        <v>268</v>
      </c>
      <c r="D16" s="51" t="s">
        <v>131</v>
      </c>
      <c r="E16" s="53">
        <v>40</v>
      </c>
      <c r="F16" s="54">
        <v>11.54736</v>
      </c>
      <c r="G16" s="16">
        <f t="shared" si="0"/>
        <v>461.8944</v>
      </c>
      <c r="H16" s="54">
        <f t="shared" si="1"/>
        <v>41.570496</v>
      </c>
      <c r="I16" s="54">
        <f t="shared" si="2"/>
        <v>503.464896</v>
      </c>
      <c r="J16" s="53">
        <v>40</v>
      </c>
      <c r="K16" s="54">
        <v>11.54736</v>
      </c>
      <c r="L16" s="16">
        <f t="shared" si="3"/>
        <v>461.8944</v>
      </c>
      <c r="M16" s="54">
        <f t="shared" si="4"/>
        <v>41.570496</v>
      </c>
      <c r="N16" s="54">
        <f t="shared" si="5"/>
        <v>503.464896</v>
      </c>
      <c r="O16" s="54"/>
      <c r="P16" s="16">
        <f t="shared" si="6"/>
        <v>0</v>
      </c>
      <c r="Q16" s="73"/>
    </row>
    <row r="17" s="44" customFormat="1" ht="25" customHeight="1" spans="1:17">
      <c r="A17" s="55">
        <v>13</v>
      </c>
      <c r="B17" s="52" t="s">
        <v>264</v>
      </c>
      <c r="C17" s="52" t="s">
        <v>269</v>
      </c>
      <c r="D17" s="51" t="s">
        <v>131</v>
      </c>
      <c r="E17" s="53">
        <v>54</v>
      </c>
      <c r="F17" s="54">
        <v>11.54736</v>
      </c>
      <c r="G17" s="16">
        <f t="shared" si="0"/>
        <v>623.55744</v>
      </c>
      <c r="H17" s="54">
        <f t="shared" si="1"/>
        <v>56.1201696</v>
      </c>
      <c r="I17" s="54">
        <f t="shared" si="2"/>
        <v>679.6776096</v>
      </c>
      <c r="J17" s="53">
        <v>54</v>
      </c>
      <c r="K17" s="54">
        <v>11.54736</v>
      </c>
      <c r="L17" s="16">
        <f t="shared" si="3"/>
        <v>623.55744</v>
      </c>
      <c r="M17" s="54">
        <f t="shared" si="4"/>
        <v>56.1201696</v>
      </c>
      <c r="N17" s="54">
        <f t="shared" si="5"/>
        <v>679.6776096</v>
      </c>
      <c r="O17" s="54"/>
      <c r="P17" s="16">
        <f t="shared" si="6"/>
        <v>0</v>
      </c>
      <c r="Q17" s="73"/>
    </row>
    <row r="18" s="44" customFormat="1" ht="25" customHeight="1" spans="1:17">
      <c r="A18" s="55">
        <v>14</v>
      </c>
      <c r="B18" s="52" t="s">
        <v>264</v>
      </c>
      <c r="C18" s="52" t="s">
        <v>270</v>
      </c>
      <c r="D18" s="51" t="s">
        <v>131</v>
      </c>
      <c r="E18" s="53">
        <v>50</v>
      </c>
      <c r="F18" s="54">
        <v>11.54736</v>
      </c>
      <c r="G18" s="16">
        <f t="shared" si="0"/>
        <v>577.368</v>
      </c>
      <c r="H18" s="54">
        <f t="shared" si="1"/>
        <v>51.96312</v>
      </c>
      <c r="I18" s="54">
        <f t="shared" si="2"/>
        <v>629.33112</v>
      </c>
      <c r="J18" s="53">
        <v>50</v>
      </c>
      <c r="K18" s="54">
        <v>11.54736</v>
      </c>
      <c r="L18" s="16">
        <f t="shared" si="3"/>
        <v>577.368</v>
      </c>
      <c r="M18" s="54">
        <f t="shared" si="4"/>
        <v>51.96312</v>
      </c>
      <c r="N18" s="54">
        <f t="shared" si="5"/>
        <v>629.33112</v>
      </c>
      <c r="O18" s="54"/>
      <c r="P18" s="16">
        <f t="shared" si="6"/>
        <v>0</v>
      </c>
      <c r="Q18" s="73"/>
    </row>
    <row r="19" s="44" customFormat="1" ht="25" customHeight="1" spans="1:17">
      <c r="A19" s="55">
        <v>15</v>
      </c>
      <c r="B19" s="52" t="s">
        <v>264</v>
      </c>
      <c r="C19" s="52" t="s">
        <v>271</v>
      </c>
      <c r="D19" s="51" t="s">
        <v>131</v>
      </c>
      <c r="E19" s="53">
        <v>22</v>
      </c>
      <c r="F19" s="54">
        <v>11.54736</v>
      </c>
      <c r="G19" s="16">
        <f t="shared" si="0"/>
        <v>254.04192</v>
      </c>
      <c r="H19" s="54">
        <f t="shared" si="1"/>
        <v>22.8637728</v>
      </c>
      <c r="I19" s="54">
        <f t="shared" si="2"/>
        <v>276.9056928</v>
      </c>
      <c r="J19" s="53">
        <v>22</v>
      </c>
      <c r="K19" s="54">
        <v>11.54736</v>
      </c>
      <c r="L19" s="16">
        <f t="shared" si="3"/>
        <v>254.04192</v>
      </c>
      <c r="M19" s="54">
        <f t="shared" si="4"/>
        <v>22.8637728</v>
      </c>
      <c r="N19" s="54">
        <f t="shared" si="5"/>
        <v>276.9056928</v>
      </c>
      <c r="O19" s="54"/>
      <c r="P19" s="16">
        <f t="shared" si="6"/>
        <v>0</v>
      </c>
      <c r="Q19" s="73"/>
    </row>
    <row r="20" s="44" customFormat="1" ht="25" customHeight="1" spans="1:17">
      <c r="A20" s="55">
        <v>16</v>
      </c>
      <c r="B20" s="52" t="s">
        <v>272</v>
      </c>
      <c r="C20" s="52" t="s">
        <v>273</v>
      </c>
      <c r="D20" s="51" t="s">
        <v>157</v>
      </c>
      <c r="E20" s="53">
        <v>86</v>
      </c>
      <c r="F20" s="54">
        <v>10.58251392</v>
      </c>
      <c r="G20" s="16">
        <f t="shared" si="0"/>
        <v>910.09619712</v>
      </c>
      <c r="H20" s="54">
        <f t="shared" si="1"/>
        <v>81.9086577408</v>
      </c>
      <c r="I20" s="54">
        <f t="shared" si="2"/>
        <v>992.0048548608</v>
      </c>
      <c r="J20" s="53">
        <v>86</v>
      </c>
      <c r="K20" s="54">
        <v>10.58251392</v>
      </c>
      <c r="L20" s="16">
        <f t="shared" si="3"/>
        <v>910.09619712</v>
      </c>
      <c r="M20" s="54">
        <f t="shared" si="4"/>
        <v>81.9086577408</v>
      </c>
      <c r="N20" s="54">
        <f t="shared" si="5"/>
        <v>992.0048548608</v>
      </c>
      <c r="O20" s="54"/>
      <c r="P20" s="16">
        <f t="shared" si="6"/>
        <v>0</v>
      </c>
      <c r="Q20" s="73"/>
    </row>
    <row r="21" s="44" customFormat="1" ht="25" customHeight="1" spans="1:17">
      <c r="A21" s="55">
        <v>17</v>
      </c>
      <c r="B21" s="52" t="s">
        <v>272</v>
      </c>
      <c r="C21" s="52" t="s">
        <v>274</v>
      </c>
      <c r="D21" s="51" t="s">
        <v>157</v>
      </c>
      <c r="E21" s="53">
        <v>436</v>
      </c>
      <c r="F21" s="54">
        <v>87.24672</v>
      </c>
      <c r="G21" s="16">
        <f t="shared" si="0"/>
        <v>38039.56992</v>
      </c>
      <c r="H21" s="54">
        <f t="shared" si="1"/>
        <v>3423.5612928</v>
      </c>
      <c r="I21" s="54">
        <f t="shared" si="2"/>
        <v>41463.1312128</v>
      </c>
      <c r="J21" s="53">
        <v>436</v>
      </c>
      <c r="K21" s="54">
        <v>87.24672</v>
      </c>
      <c r="L21" s="16">
        <f t="shared" si="3"/>
        <v>38039.56992</v>
      </c>
      <c r="M21" s="54">
        <f t="shared" si="4"/>
        <v>3423.5612928</v>
      </c>
      <c r="N21" s="54">
        <f t="shared" si="5"/>
        <v>41463.1312128</v>
      </c>
      <c r="O21" s="54"/>
      <c r="P21" s="16">
        <f t="shared" si="6"/>
        <v>0</v>
      </c>
      <c r="Q21" s="73"/>
    </row>
    <row r="22" s="44" customFormat="1" ht="25" customHeight="1" spans="1:17">
      <c r="A22" s="55">
        <v>18</v>
      </c>
      <c r="B22" s="57" t="s">
        <v>285</v>
      </c>
      <c r="C22" s="57"/>
      <c r="D22" s="58"/>
      <c r="E22" s="145"/>
      <c r="F22" s="54"/>
      <c r="G22" s="16">
        <f>G25*0.5%</f>
        <v>4420.24575191876</v>
      </c>
      <c r="H22" s="54"/>
      <c r="I22" s="54"/>
      <c r="J22" s="145"/>
      <c r="K22" s="54"/>
      <c r="L22" s="16">
        <f>L25*0.5%*0</f>
        <v>0</v>
      </c>
      <c r="M22" s="54"/>
      <c r="N22" s="54"/>
      <c r="O22" s="54"/>
      <c r="P22" s="16">
        <f t="shared" si="6"/>
        <v>4420.24575191876</v>
      </c>
      <c r="Q22" s="73"/>
    </row>
    <row r="23" s="44" customFormat="1" ht="25" customHeight="1" spans="1:17">
      <c r="A23" s="55">
        <v>19</v>
      </c>
      <c r="B23" s="57" t="s">
        <v>286</v>
      </c>
      <c r="C23" s="57"/>
      <c r="D23" s="58"/>
      <c r="E23" s="145"/>
      <c r="F23" s="54"/>
      <c r="G23" s="16">
        <f>G25*1%</f>
        <v>8840.49150383752</v>
      </c>
      <c r="H23" s="54"/>
      <c r="I23" s="54"/>
      <c r="J23" s="145"/>
      <c r="K23" s="54"/>
      <c r="L23" s="16">
        <f>L25*1%*0</f>
        <v>0</v>
      </c>
      <c r="M23" s="54"/>
      <c r="N23" s="54"/>
      <c r="O23" s="54"/>
      <c r="P23" s="16">
        <f t="shared" si="6"/>
        <v>8840.49150383752</v>
      </c>
      <c r="Q23" s="73"/>
    </row>
    <row r="24" s="44" customFormat="1" ht="25" customHeight="1" spans="1:17">
      <c r="A24" s="55">
        <v>20</v>
      </c>
      <c r="B24" s="57" t="s">
        <v>287</v>
      </c>
      <c r="C24" s="57"/>
      <c r="D24" s="58"/>
      <c r="E24" s="145"/>
      <c r="F24" s="54"/>
      <c r="G24" s="16">
        <f>G25*1.6%</f>
        <v>14144.78640614</v>
      </c>
      <c r="H24" s="54"/>
      <c r="I24" s="54"/>
      <c r="J24" s="145"/>
      <c r="K24" s="54"/>
      <c r="L24" s="16">
        <f>L25*1.6%*0</f>
        <v>0</v>
      </c>
      <c r="M24" s="54"/>
      <c r="N24" s="54"/>
      <c r="O24" s="54"/>
      <c r="P24" s="16">
        <f t="shared" si="6"/>
        <v>14144.78640614</v>
      </c>
      <c r="Q24" s="73"/>
    </row>
    <row r="25" s="44" customFormat="1" ht="25" customHeight="1" spans="1:17">
      <c r="A25" s="60" t="s">
        <v>30</v>
      </c>
      <c r="B25" s="57" t="s">
        <v>288</v>
      </c>
      <c r="C25" s="57"/>
      <c r="D25" s="58"/>
      <c r="E25" s="145"/>
      <c r="F25" s="54"/>
      <c r="G25" s="16">
        <f>SUM(G5:G21)</f>
        <v>884049.150383752</v>
      </c>
      <c r="H25" s="54"/>
      <c r="I25" s="54"/>
      <c r="J25" s="145"/>
      <c r="K25" s="54"/>
      <c r="L25" s="16">
        <f>SUM(L5:L21)</f>
        <v>884049.150383752</v>
      </c>
      <c r="M25" s="54"/>
      <c r="N25" s="54"/>
      <c r="O25" s="54"/>
      <c r="P25" s="16">
        <f t="shared" si="6"/>
        <v>0</v>
      </c>
      <c r="Q25" s="73"/>
    </row>
    <row r="26" s="82" customFormat="1" ht="12.75" spans="1:17">
      <c r="A26" s="146" t="s">
        <v>279</v>
      </c>
      <c r="B26" s="147"/>
      <c r="C26" s="147"/>
      <c r="D26" s="147"/>
      <c r="E26" s="147"/>
      <c r="F26" s="147"/>
      <c r="G26" s="148"/>
      <c r="H26" s="147"/>
      <c r="I26" s="154" t="s">
        <v>280</v>
      </c>
      <c r="J26" s="147"/>
      <c r="K26" s="147"/>
      <c r="L26" s="148"/>
      <c r="M26" s="147"/>
      <c r="N26" s="154" t="s">
        <v>280</v>
      </c>
      <c r="O26" s="154"/>
      <c r="P26" s="155"/>
      <c r="Q26" s="128"/>
    </row>
    <row r="27" s="5" customFormat="1" spans="1:17">
      <c r="A27" s="44"/>
      <c r="B27" s="44"/>
      <c r="C27" s="44"/>
      <c r="D27" s="44"/>
      <c r="E27" s="44"/>
      <c r="F27" s="44"/>
      <c r="G27" s="132"/>
      <c r="H27" s="44"/>
      <c r="I27" s="44"/>
      <c r="J27" s="44"/>
      <c r="K27" s="44"/>
      <c r="L27" s="132"/>
      <c r="M27" s="44"/>
      <c r="N27" s="44"/>
      <c r="O27" s="44"/>
      <c r="P27" s="132"/>
      <c r="Q27" s="45"/>
    </row>
    <row r="28" s="5" customFormat="1" spans="1:17">
      <c r="A28" s="44"/>
      <c r="B28" s="44"/>
      <c r="C28" s="44"/>
      <c r="D28" s="44"/>
      <c r="E28" s="44"/>
      <c r="F28" s="44"/>
      <c r="G28" s="132"/>
      <c r="H28" s="44"/>
      <c r="I28" s="44"/>
      <c r="J28" s="44"/>
      <c r="K28" s="44"/>
      <c r="L28" s="132"/>
      <c r="M28" s="44"/>
      <c r="N28" s="44"/>
      <c r="O28" s="44"/>
      <c r="P28" s="132"/>
      <c r="Q28" s="45"/>
    </row>
    <row r="29" s="5" customFormat="1" spans="1:17">
      <c r="A29" s="44"/>
      <c r="B29" s="149"/>
      <c r="C29" s="44"/>
      <c r="D29" s="44"/>
      <c r="E29" s="44"/>
      <c r="F29" s="44"/>
      <c r="G29" s="132"/>
      <c r="H29" s="44"/>
      <c r="I29" s="44"/>
      <c r="J29" s="44"/>
      <c r="K29" s="44"/>
      <c r="L29" s="132"/>
      <c r="M29" s="44"/>
      <c r="N29" s="44"/>
      <c r="O29" s="44"/>
      <c r="P29" s="132"/>
      <c r="Q29" s="45"/>
    </row>
    <row r="30" s="5" customFormat="1" spans="1:17">
      <c r="A30" s="44"/>
      <c r="B30" s="149"/>
      <c r="C30" s="44"/>
      <c r="D30" s="44"/>
      <c r="E30" s="44"/>
      <c r="F30" s="44"/>
      <c r="G30" s="132"/>
      <c r="H30" s="44"/>
      <c r="I30" s="44"/>
      <c r="J30" s="44"/>
      <c r="K30" s="44"/>
      <c r="L30" s="132"/>
      <c r="M30" s="44"/>
      <c r="N30" s="44"/>
      <c r="O30" s="44"/>
      <c r="P30" s="132"/>
      <c r="Q30" s="45"/>
    </row>
    <row r="31" s="5" customFormat="1" spans="1:17">
      <c r="A31" s="44"/>
      <c r="B31" s="149"/>
      <c r="C31" s="44"/>
      <c r="D31" s="44"/>
      <c r="E31" s="44"/>
      <c r="F31" s="44"/>
      <c r="G31" s="132"/>
      <c r="H31" s="44"/>
      <c r="I31" s="44"/>
      <c r="J31" s="44"/>
      <c r="K31" s="44"/>
      <c r="L31" s="132"/>
      <c r="M31" s="44"/>
      <c r="N31" s="44"/>
      <c r="O31" s="44"/>
      <c r="P31" s="132"/>
      <c r="Q31" s="45"/>
    </row>
  </sheetData>
  <mergeCells count="11">
    <mergeCell ref="A1:P1"/>
    <mergeCell ref="A2:E2"/>
    <mergeCell ref="O2:P2"/>
    <mergeCell ref="E3:G3"/>
    <mergeCell ref="J3:L3"/>
    <mergeCell ref="A3:A4"/>
    <mergeCell ref="B3:B4"/>
    <mergeCell ref="C3:C4"/>
    <mergeCell ref="D3:D4"/>
    <mergeCell ref="O3:O4"/>
    <mergeCell ref="P3:P4"/>
  </mergeCells>
  <printOptions horizontalCentered="1"/>
  <pageMargins left="0.393055555555556" right="0.393055555555556" top="0.590277777777778" bottom="0.393055555555556" header="0.5" footer="0.184722222222222"/>
  <pageSetup paperSize="9" fitToHeight="0" orientation="landscape" horizontalDpi="600"/>
  <headerFooter>
    <oddFooter>&amp;C&amp;9第 &amp;P 页，共 &amp;N 页</oddFooter>
  </headerFooter>
  <colBreaks count="1" manualBreakCount="1">
    <brk id="16" max="24" man="1"/>
  </colBreaks>
  <ignoredErrors>
    <ignoredError sqref="G5:G24 L5:L12 L14:L20 P5:P2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1"/>
  <sheetViews>
    <sheetView showZeros="0" view="pageBreakPreview" zoomScaleNormal="100" workbookViewId="0">
      <pane xSplit="1" ySplit="6" topLeftCell="B7" activePane="bottomRight" state="frozen"/>
      <selection/>
      <selection pane="topRight"/>
      <selection pane="bottomLeft"/>
      <selection pane="bottomRight" activeCell="H18" sqref="H18"/>
    </sheetView>
  </sheetViews>
  <sheetFormatPr defaultColWidth="10" defaultRowHeight="14.25"/>
  <cols>
    <col min="1" max="1" width="4.09166666666667" style="44" customWidth="1"/>
    <col min="2" max="2" width="17.4583333333333" style="44" customWidth="1"/>
    <col min="3" max="3" width="26.4583333333333" style="44" customWidth="1"/>
    <col min="4" max="4" width="8.35833333333333" style="44" customWidth="1"/>
    <col min="5" max="5" width="9.18333333333333" style="44" customWidth="1"/>
    <col min="6" max="6" width="10" style="44"/>
    <col min="7" max="7" width="15.8166666666667" style="44" customWidth="1"/>
    <col min="8" max="8" width="12.9083333333333" style="44" customWidth="1"/>
    <col min="9" max="9" width="13.3583333333333" style="44" customWidth="1"/>
    <col min="10" max="10" width="7.73333333333333" style="44" customWidth="1"/>
    <col min="11" max="18" width="10.0916666666667" style="45" customWidth="1"/>
    <col min="19" max="21" width="10" style="45"/>
    <col min="22" max="16383" width="10" style="44"/>
    <col min="16384" max="16384" width="10" style="5"/>
  </cols>
  <sheetData>
    <row r="1" s="44" customFormat="1" ht="23.25" spans="1:21">
      <c r="A1" s="83"/>
      <c r="B1" s="72"/>
      <c r="C1" s="72"/>
      <c r="D1" s="46" t="s">
        <v>289</v>
      </c>
      <c r="E1" s="72"/>
      <c r="F1" s="72"/>
      <c r="G1" s="72"/>
      <c r="H1" s="72"/>
      <c r="I1" s="72"/>
      <c r="J1" s="72"/>
      <c r="K1" s="73"/>
      <c r="L1" s="73"/>
      <c r="M1" s="73"/>
      <c r="N1" s="45"/>
      <c r="O1" s="45"/>
      <c r="P1" s="45"/>
      <c r="Q1" s="45"/>
      <c r="R1" s="45"/>
      <c r="S1" s="45"/>
      <c r="T1" s="45"/>
      <c r="U1" s="45"/>
    </row>
    <row r="2" s="44" customFormat="1" spans="1:21">
      <c r="A2" s="83"/>
      <c r="B2" s="84"/>
      <c r="C2" s="84"/>
      <c r="D2" s="85" t="s">
        <v>290</v>
      </c>
      <c r="E2" s="84"/>
      <c r="F2" s="84"/>
      <c r="G2" s="84"/>
      <c r="H2" s="84"/>
      <c r="I2" s="84"/>
      <c r="J2" s="84"/>
      <c r="K2" s="73"/>
      <c r="L2" s="73"/>
      <c r="M2" s="73"/>
      <c r="N2" s="45"/>
      <c r="O2" s="45"/>
      <c r="P2" s="45"/>
      <c r="Q2" s="45"/>
      <c r="R2" s="45"/>
      <c r="S2" s="45"/>
      <c r="T2" s="45"/>
      <c r="U2" s="45"/>
    </row>
    <row r="3" s="44" customFormat="1" ht="15" spans="1:21">
      <c r="A3" s="86" t="str">
        <f>表一!A2</f>
        <v>工程名称：杭州钱塘区下沙街道开发区电力隧道（一期二标）信号覆盖建设工程</v>
      </c>
      <c r="B3" s="87"/>
      <c r="C3" s="87"/>
      <c r="D3" s="88"/>
      <c r="E3" s="89"/>
      <c r="F3" s="87"/>
      <c r="G3" s="89"/>
      <c r="H3" s="89"/>
      <c r="I3" s="89"/>
      <c r="J3" s="120" t="s">
        <v>291</v>
      </c>
      <c r="K3" s="73"/>
      <c r="L3" s="73"/>
      <c r="M3" s="73"/>
      <c r="N3" s="45"/>
      <c r="O3" s="45"/>
      <c r="P3" s="45"/>
      <c r="Q3" s="45"/>
      <c r="R3" s="45"/>
      <c r="S3" s="45"/>
      <c r="T3" s="45"/>
      <c r="U3" s="45"/>
    </row>
    <row r="4" s="44" customFormat="1" spans="1:21">
      <c r="A4" s="90" t="s">
        <v>4</v>
      </c>
      <c r="B4" s="91" t="s">
        <v>292</v>
      </c>
      <c r="C4" s="92" t="s">
        <v>293</v>
      </c>
      <c r="D4" s="93" t="s">
        <v>234</v>
      </c>
      <c r="E4" s="91" t="s">
        <v>294</v>
      </c>
      <c r="F4" s="94" t="s">
        <v>295</v>
      </c>
      <c r="G4" s="94" t="s">
        <v>296</v>
      </c>
      <c r="H4" s="95"/>
      <c r="I4" s="121"/>
      <c r="J4" s="122" t="s">
        <v>190</v>
      </c>
      <c r="K4" s="73"/>
      <c r="L4" s="73"/>
      <c r="M4" s="73"/>
      <c r="N4" s="45"/>
      <c r="O4" s="45"/>
      <c r="P4" s="45"/>
      <c r="Q4" s="45"/>
      <c r="R4" s="45"/>
      <c r="S4" s="45"/>
      <c r="T4" s="45"/>
      <c r="U4" s="45"/>
    </row>
    <row r="5" s="44" customFormat="1" spans="1:21">
      <c r="A5" s="96"/>
      <c r="B5" s="97"/>
      <c r="C5" s="97"/>
      <c r="D5" s="97"/>
      <c r="E5" s="97"/>
      <c r="F5" s="98" t="s">
        <v>19</v>
      </c>
      <c r="G5" s="98" t="s">
        <v>19</v>
      </c>
      <c r="H5" s="98" t="s">
        <v>20</v>
      </c>
      <c r="I5" s="98" t="s">
        <v>21</v>
      </c>
      <c r="J5" s="123"/>
      <c r="K5" s="73"/>
      <c r="L5" s="73"/>
      <c r="M5" s="73"/>
      <c r="N5" s="45"/>
      <c r="O5" s="45"/>
      <c r="P5" s="45"/>
      <c r="Q5" s="45"/>
      <c r="R5" s="45"/>
      <c r="S5" s="45"/>
      <c r="T5" s="45"/>
      <c r="U5" s="45"/>
    </row>
    <row r="6" s="44" customFormat="1" spans="1:21">
      <c r="A6" s="99" t="s">
        <v>38</v>
      </c>
      <c r="B6" s="100" t="s">
        <v>39</v>
      </c>
      <c r="C6" s="100" t="s">
        <v>40</v>
      </c>
      <c r="D6" s="100" t="s">
        <v>41</v>
      </c>
      <c r="E6" s="100" t="s">
        <v>124</v>
      </c>
      <c r="F6" s="101" t="s">
        <v>125</v>
      </c>
      <c r="G6" s="101" t="s">
        <v>128</v>
      </c>
      <c r="H6" s="101" t="s">
        <v>208</v>
      </c>
      <c r="I6" s="124" t="s">
        <v>297</v>
      </c>
      <c r="J6" s="125" t="s">
        <v>298</v>
      </c>
      <c r="K6" s="73"/>
      <c r="L6" s="73"/>
      <c r="M6" s="73"/>
      <c r="N6" s="45"/>
      <c r="O6" s="45"/>
      <c r="P6" s="45"/>
      <c r="Q6" s="45"/>
      <c r="R6" s="45"/>
      <c r="S6" s="45"/>
      <c r="T6" s="45"/>
      <c r="U6" s="45"/>
    </row>
    <row r="7" s="44" customFormat="1" spans="1:21">
      <c r="A7" s="102" t="s">
        <v>299</v>
      </c>
      <c r="B7" s="103" t="s">
        <v>300</v>
      </c>
      <c r="C7" s="103" t="s">
        <v>301</v>
      </c>
      <c r="D7" s="104" t="s">
        <v>302</v>
      </c>
      <c r="E7" s="105">
        <f>3343*2</f>
        <v>6686</v>
      </c>
      <c r="F7" s="106">
        <v>8.532216</v>
      </c>
      <c r="G7" s="107">
        <f>E7*F7</f>
        <v>57046.396176</v>
      </c>
      <c r="H7" s="107">
        <f>G7*0.09</f>
        <v>5134.17565584</v>
      </c>
      <c r="I7" s="107">
        <f>G7+H7</f>
        <v>62180.57183184</v>
      </c>
      <c r="J7" s="76"/>
      <c r="K7" s="73"/>
      <c r="L7" s="73"/>
      <c r="M7" s="73"/>
      <c r="N7" s="45"/>
      <c r="O7" s="45"/>
      <c r="P7" s="45"/>
      <c r="Q7" s="45"/>
      <c r="R7" s="45"/>
      <c r="S7" s="45"/>
      <c r="T7" s="45"/>
      <c r="U7" s="45"/>
    </row>
    <row r="8" s="44" customFormat="1" spans="1:21">
      <c r="A8" s="102" t="s">
        <v>303</v>
      </c>
      <c r="B8" s="103" t="s">
        <v>300</v>
      </c>
      <c r="C8" s="103" t="s">
        <v>304</v>
      </c>
      <c r="D8" s="104" t="s">
        <v>302</v>
      </c>
      <c r="E8" s="105">
        <f>3446*2</f>
        <v>6892</v>
      </c>
      <c r="F8" s="106">
        <v>21.555072</v>
      </c>
      <c r="G8" s="107">
        <f t="shared" ref="G8:G28" si="0">E8*F8</f>
        <v>148557.556224</v>
      </c>
      <c r="H8" s="107">
        <f t="shared" ref="H8:H28" si="1">G8*0.09</f>
        <v>13370.18006016</v>
      </c>
      <c r="I8" s="107">
        <f t="shared" ref="I8:I28" si="2">G8+H8</f>
        <v>161927.73628416</v>
      </c>
      <c r="J8" s="76"/>
      <c r="K8" s="73"/>
      <c r="L8" s="73"/>
      <c r="M8" s="73"/>
      <c r="N8" s="45"/>
      <c r="O8" s="45"/>
      <c r="P8" s="45"/>
      <c r="Q8" s="45"/>
      <c r="R8" s="45"/>
      <c r="S8" s="45"/>
      <c r="T8" s="45"/>
      <c r="U8" s="45"/>
    </row>
    <row r="9" s="44" customFormat="1" spans="1:21">
      <c r="A9" s="102" t="s">
        <v>305</v>
      </c>
      <c r="B9" s="103" t="s">
        <v>306</v>
      </c>
      <c r="C9" s="103" t="s">
        <v>307</v>
      </c>
      <c r="D9" s="104" t="s">
        <v>131</v>
      </c>
      <c r="E9" s="105">
        <f>2*864</f>
        <v>1728</v>
      </c>
      <c r="F9" s="106">
        <v>4.70489724878049</v>
      </c>
      <c r="G9" s="107">
        <f t="shared" si="0"/>
        <v>8130.06244589269</v>
      </c>
      <c r="H9" s="107">
        <f t="shared" si="1"/>
        <v>731.705620130342</v>
      </c>
      <c r="I9" s="107">
        <f t="shared" si="2"/>
        <v>8861.76806602303</v>
      </c>
      <c r="J9" s="76"/>
      <c r="K9" s="73"/>
      <c r="L9" s="73"/>
      <c r="M9" s="73"/>
      <c r="N9" s="45"/>
      <c r="O9" s="45"/>
      <c r="P9" s="45"/>
      <c r="Q9" s="45"/>
      <c r="R9" s="45"/>
      <c r="S9" s="45"/>
      <c r="T9" s="45"/>
      <c r="U9" s="45"/>
    </row>
    <row r="10" s="44" customFormat="1" spans="1:21">
      <c r="A10" s="102" t="s">
        <v>308</v>
      </c>
      <c r="B10" s="103" t="s">
        <v>306</v>
      </c>
      <c r="C10" s="103" t="s">
        <v>309</v>
      </c>
      <c r="D10" s="104" t="s">
        <v>131</v>
      </c>
      <c r="E10" s="105">
        <f>2*134</f>
        <v>268</v>
      </c>
      <c r="F10" s="106">
        <v>11.4703776</v>
      </c>
      <c r="G10" s="107">
        <f t="shared" si="0"/>
        <v>3074.0611968</v>
      </c>
      <c r="H10" s="107">
        <f t="shared" si="1"/>
        <v>276.665507712</v>
      </c>
      <c r="I10" s="107">
        <f t="shared" si="2"/>
        <v>3350.726704512</v>
      </c>
      <c r="J10" s="76"/>
      <c r="K10" s="73"/>
      <c r="L10" s="73"/>
      <c r="M10" s="73"/>
      <c r="N10" s="45"/>
      <c r="O10" s="45"/>
      <c r="P10" s="45"/>
      <c r="Q10" s="45"/>
      <c r="R10" s="45"/>
      <c r="S10" s="45"/>
      <c r="T10" s="45"/>
      <c r="U10" s="45"/>
    </row>
    <row r="11" s="44" customFormat="1" spans="1:21">
      <c r="A11" s="102" t="s">
        <v>310</v>
      </c>
      <c r="B11" s="103" t="s">
        <v>306</v>
      </c>
      <c r="C11" s="103" t="s">
        <v>311</v>
      </c>
      <c r="D11" s="104" t="s">
        <v>131</v>
      </c>
      <c r="E11" s="105">
        <f>2*120</f>
        <v>240</v>
      </c>
      <c r="F11" s="106">
        <v>3.39748992</v>
      </c>
      <c r="G11" s="107">
        <f t="shared" si="0"/>
        <v>815.3975808</v>
      </c>
      <c r="H11" s="107">
        <f t="shared" si="1"/>
        <v>73.385782272</v>
      </c>
      <c r="I11" s="107">
        <f t="shared" si="2"/>
        <v>888.783363072</v>
      </c>
      <c r="J11" s="76"/>
      <c r="K11" s="73"/>
      <c r="L11" s="73"/>
      <c r="M11" s="73"/>
      <c r="N11" s="45"/>
      <c r="O11" s="45"/>
      <c r="P11" s="45"/>
      <c r="Q11" s="45"/>
      <c r="R11" s="45"/>
      <c r="S11" s="45"/>
      <c r="T11" s="45"/>
      <c r="U11" s="45"/>
    </row>
    <row r="12" s="44" customFormat="1" spans="1:21">
      <c r="A12" s="102" t="s">
        <v>312</v>
      </c>
      <c r="B12" s="103" t="s">
        <v>306</v>
      </c>
      <c r="C12" s="103" t="s">
        <v>313</v>
      </c>
      <c r="D12" s="104" t="s">
        <v>131</v>
      </c>
      <c r="E12" s="105">
        <f>2*50</f>
        <v>100</v>
      </c>
      <c r="F12" s="106">
        <v>3.0215592</v>
      </c>
      <c r="G12" s="107">
        <f t="shared" si="0"/>
        <v>302.15592</v>
      </c>
      <c r="H12" s="107">
        <f t="shared" si="1"/>
        <v>27.1940328</v>
      </c>
      <c r="I12" s="107">
        <f t="shared" si="2"/>
        <v>329.3499528</v>
      </c>
      <c r="J12" s="76"/>
      <c r="K12" s="73"/>
      <c r="L12" s="73"/>
      <c r="M12" s="73"/>
      <c r="N12" s="45"/>
      <c r="O12" s="45"/>
      <c r="P12" s="45"/>
      <c r="Q12" s="45"/>
      <c r="R12" s="45"/>
      <c r="S12" s="45"/>
      <c r="T12" s="45"/>
      <c r="U12" s="45"/>
    </row>
    <row r="13" s="44" customFormat="1" spans="1:21">
      <c r="A13" s="102" t="s">
        <v>314</v>
      </c>
      <c r="B13" s="103" t="s">
        <v>306</v>
      </c>
      <c r="C13" s="103" t="s">
        <v>315</v>
      </c>
      <c r="D13" s="104" t="s">
        <v>131</v>
      </c>
      <c r="E13" s="105">
        <f>2*242</f>
        <v>484</v>
      </c>
      <c r="F13" s="106">
        <v>5.02438464</v>
      </c>
      <c r="G13" s="107">
        <f t="shared" si="0"/>
        <v>2431.80216576</v>
      </c>
      <c r="H13" s="107">
        <f t="shared" si="1"/>
        <v>218.8621949184</v>
      </c>
      <c r="I13" s="107">
        <f t="shared" si="2"/>
        <v>2650.6643606784</v>
      </c>
      <c r="J13" s="76"/>
      <c r="K13" s="73"/>
      <c r="L13" s="73"/>
      <c r="M13" s="73"/>
      <c r="N13" s="45"/>
      <c r="O13" s="45"/>
      <c r="P13" s="45"/>
      <c r="Q13" s="45"/>
      <c r="R13" s="45"/>
      <c r="S13" s="45"/>
      <c r="T13" s="45"/>
      <c r="U13" s="45"/>
    </row>
    <row r="14" s="44" customFormat="1" spans="1:21">
      <c r="A14" s="102" t="s">
        <v>316</v>
      </c>
      <c r="B14" s="103" t="s">
        <v>317</v>
      </c>
      <c r="C14" s="103" t="s">
        <v>318</v>
      </c>
      <c r="D14" s="104" t="s">
        <v>319</v>
      </c>
      <c r="E14" s="105">
        <f>2*500</f>
        <v>1000</v>
      </c>
      <c r="F14" s="106">
        <v>7.954848</v>
      </c>
      <c r="G14" s="107">
        <f t="shared" si="0"/>
        <v>7954.848</v>
      </c>
      <c r="H14" s="107">
        <f t="shared" si="1"/>
        <v>715.93632</v>
      </c>
      <c r="I14" s="107">
        <f t="shared" si="2"/>
        <v>8670.78432</v>
      </c>
      <c r="J14" s="76"/>
      <c r="K14" s="73"/>
      <c r="L14" s="73"/>
      <c r="M14" s="73"/>
      <c r="N14" s="45"/>
      <c r="O14" s="45"/>
      <c r="P14" s="45"/>
      <c r="Q14" s="45"/>
      <c r="R14" s="45"/>
      <c r="S14" s="45"/>
      <c r="T14" s="45"/>
      <c r="U14" s="45"/>
    </row>
    <row r="15" s="44" customFormat="1" spans="1:21">
      <c r="A15" s="102" t="s">
        <v>320</v>
      </c>
      <c r="B15" s="103" t="s">
        <v>317</v>
      </c>
      <c r="C15" s="103" t="s">
        <v>321</v>
      </c>
      <c r="D15" s="104" t="s">
        <v>319</v>
      </c>
      <c r="E15" s="105">
        <f>2*500</f>
        <v>1000</v>
      </c>
      <c r="F15" s="106">
        <v>11.9451024</v>
      </c>
      <c r="G15" s="107">
        <f t="shared" si="0"/>
        <v>11945.1024</v>
      </c>
      <c r="H15" s="107">
        <f t="shared" si="1"/>
        <v>1075.059216</v>
      </c>
      <c r="I15" s="107">
        <f t="shared" si="2"/>
        <v>13020.161616</v>
      </c>
      <c r="J15" s="76"/>
      <c r="K15" s="73"/>
      <c r="L15" s="73"/>
      <c r="M15" s="73"/>
      <c r="N15" s="45"/>
      <c r="O15" s="45"/>
      <c r="P15" s="45"/>
      <c r="Q15" s="45"/>
      <c r="R15" s="45"/>
      <c r="S15" s="45"/>
      <c r="T15" s="45"/>
      <c r="U15" s="45"/>
    </row>
    <row r="16" s="44" customFormat="1" spans="1:21">
      <c r="A16" s="102" t="s">
        <v>322</v>
      </c>
      <c r="B16" s="103" t="s">
        <v>317</v>
      </c>
      <c r="C16" s="103" t="s">
        <v>323</v>
      </c>
      <c r="D16" s="104" t="s">
        <v>319</v>
      </c>
      <c r="E16" s="105">
        <f>2*75</f>
        <v>150</v>
      </c>
      <c r="F16" s="106">
        <v>17.96256</v>
      </c>
      <c r="G16" s="107">
        <f t="shared" si="0"/>
        <v>2694.384</v>
      </c>
      <c r="H16" s="107">
        <f t="shared" si="1"/>
        <v>242.49456</v>
      </c>
      <c r="I16" s="107">
        <f t="shared" si="2"/>
        <v>2936.87856</v>
      </c>
      <c r="J16" s="76"/>
      <c r="K16" s="73"/>
      <c r="L16" s="73"/>
      <c r="M16" s="73"/>
      <c r="N16" s="45"/>
      <c r="O16" s="45"/>
      <c r="P16" s="45"/>
      <c r="Q16" s="45"/>
      <c r="R16" s="45"/>
      <c r="S16" s="45"/>
      <c r="T16" s="45"/>
      <c r="U16" s="45"/>
    </row>
    <row r="17" s="44" customFormat="1" spans="1:21">
      <c r="A17" s="102" t="s">
        <v>324</v>
      </c>
      <c r="B17" s="103" t="s">
        <v>325</v>
      </c>
      <c r="C17" s="103" t="s">
        <v>325</v>
      </c>
      <c r="D17" s="104" t="s">
        <v>319</v>
      </c>
      <c r="E17" s="105">
        <v>10500</v>
      </c>
      <c r="F17" s="106">
        <v>3.2076</v>
      </c>
      <c r="G17" s="107">
        <f t="shared" si="0"/>
        <v>33679.8</v>
      </c>
      <c r="H17" s="107">
        <f t="shared" si="1"/>
        <v>3031.182</v>
      </c>
      <c r="I17" s="107">
        <f t="shared" si="2"/>
        <v>36710.982</v>
      </c>
      <c r="J17" s="76"/>
      <c r="K17" s="73"/>
      <c r="L17" s="73"/>
      <c r="M17" s="73"/>
      <c r="N17" s="45"/>
      <c r="O17" s="45"/>
      <c r="P17" s="45"/>
      <c r="Q17" s="45"/>
      <c r="R17" s="45"/>
      <c r="S17" s="45"/>
      <c r="T17" s="45"/>
      <c r="U17" s="45"/>
    </row>
    <row r="18" s="44" customFormat="1" spans="1:21">
      <c r="A18" s="102" t="s">
        <v>326</v>
      </c>
      <c r="B18" s="103" t="s">
        <v>327</v>
      </c>
      <c r="C18" s="103" t="s">
        <v>327</v>
      </c>
      <c r="D18" s="104" t="s">
        <v>145</v>
      </c>
      <c r="E18" s="105">
        <f>2*672</f>
        <v>1344</v>
      </c>
      <c r="F18" s="106">
        <v>38.4912</v>
      </c>
      <c r="G18" s="107">
        <f t="shared" si="0"/>
        <v>51732.1728</v>
      </c>
      <c r="H18" s="107">
        <f t="shared" si="1"/>
        <v>4655.895552</v>
      </c>
      <c r="I18" s="107">
        <f t="shared" si="2"/>
        <v>56388.068352</v>
      </c>
      <c r="J18" s="76"/>
      <c r="K18" s="73"/>
      <c r="L18" s="73"/>
      <c r="M18" s="73"/>
      <c r="N18" s="45"/>
      <c r="O18" s="45"/>
      <c r="P18" s="45"/>
      <c r="Q18" s="45"/>
      <c r="R18" s="45"/>
      <c r="S18" s="45"/>
      <c r="T18" s="45"/>
      <c r="U18" s="45"/>
    </row>
    <row r="19" s="44" customFormat="1" spans="1:21">
      <c r="A19" s="102" t="s">
        <v>328</v>
      </c>
      <c r="B19" s="103" t="s">
        <v>329</v>
      </c>
      <c r="C19" s="103" t="s">
        <v>330</v>
      </c>
      <c r="D19" s="104" t="s">
        <v>131</v>
      </c>
      <c r="E19" s="105">
        <f>2*26</f>
        <v>52</v>
      </c>
      <c r="F19" s="106">
        <v>80.4722688</v>
      </c>
      <c r="G19" s="107">
        <f t="shared" si="0"/>
        <v>4184.5579776</v>
      </c>
      <c r="H19" s="107">
        <f t="shared" si="1"/>
        <v>376.610217984</v>
      </c>
      <c r="I19" s="107">
        <f t="shared" si="2"/>
        <v>4561.168195584</v>
      </c>
      <c r="J19" s="76"/>
      <c r="K19" s="73"/>
      <c r="L19" s="73"/>
      <c r="M19" s="73"/>
      <c r="N19" s="45"/>
      <c r="O19" s="45"/>
      <c r="P19" s="45"/>
      <c r="Q19" s="45"/>
      <c r="R19" s="45"/>
      <c r="S19" s="45"/>
      <c r="T19" s="45"/>
      <c r="U19" s="45"/>
    </row>
    <row r="20" s="44" customFormat="1" spans="1:21">
      <c r="A20" s="102" t="s">
        <v>331</v>
      </c>
      <c r="B20" s="103" t="s">
        <v>332</v>
      </c>
      <c r="C20" s="103" t="s">
        <v>333</v>
      </c>
      <c r="D20" s="104" t="s">
        <v>334</v>
      </c>
      <c r="E20" s="105">
        <f>2*12</f>
        <v>24</v>
      </c>
      <c r="F20" s="106">
        <v>112.90752</v>
      </c>
      <c r="G20" s="107">
        <f t="shared" si="0"/>
        <v>2709.78048</v>
      </c>
      <c r="H20" s="107">
        <f t="shared" si="1"/>
        <v>243.8802432</v>
      </c>
      <c r="I20" s="107">
        <f t="shared" si="2"/>
        <v>2953.6607232</v>
      </c>
      <c r="J20" s="76"/>
      <c r="K20" s="73"/>
      <c r="L20" s="73"/>
      <c r="M20" s="73"/>
      <c r="N20" s="45"/>
      <c r="O20" s="45"/>
      <c r="P20" s="45"/>
      <c r="Q20" s="45"/>
      <c r="R20" s="45"/>
      <c r="S20" s="45"/>
      <c r="T20" s="45"/>
      <c r="U20" s="45"/>
    </row>
    <row r="21" s="44" customFormat="1" spans="1:21">
      <c r="A21" s="102" t="s">
        <v>335</v>
      </c>
      <c r="B21" s="103" t="s">
        <v>336</v>
      </c>
      <c r="C21" s="103" t="s">
        <v>337</v>
      </c>
      <c r="D21" s="104" t="s">
        <v>319</v>
      </c>
      <c r="E21" s="105">
        <f>2*600</f>
        <v>1200</v>
      </c>
      <c r="F21" s="106">
        <v>8.6990112</v>
      </c>
      <c r="G21" s="107">
        <f t="shared" si="0"/>
        <v>10438.81344</v>
      </c>
      <c r="H21" s="107">
        <f t="shared" si="1"/>
        <v>939.4932096</v>
      </c>
      <c r="I21" s="107">
        <f t="shared" si="2"/>
        <v>11378.3066496</v>
      </c>
      <c r="J21" s="76"/>
      <c r="K21" s="73"/>
      <c r="L21" s="73"/>
      <c r="M21" s="73"/>
      <c r="N21" s="45"/>
      <c r="O21" s="45"/>
      <c r="P21" s="45"/>
      <c r="Q21" s="45"/>
      <c r="R21" s="45"/>
      <c r="S21" s="45"/>
      <c r="T21" s="45"/>
      <c r="U21" s="45"/>
    </row>
    <row r="22" s="44" customFormat="1" spans="1:21">
      <c r="A22" s="102" t="s">
        <v>338</v>
      </c>
      <c r="B22" s="103" t="s">
        <v>339</v>
      </c>
      <c r="C22" s="103" t="s">
        <v>340</v>
      </c>
      <c r="D22" s="104" t="s">
        <v>319</v>
      </c>
      <c r="E22" s="105">
        <f>2*280</f>
        <v>560</v>
      </c>
      <c r="F22" s="106">
        <v>15.139872</v>
      </c>
      <c r="G22" s="107">
        <f t="shared" si="0"/>
        <v>8478.32832</v>
      </c>
      <c r="H22" s="107">
        <f t="shared" si="1"/>
        <v>763.0495488</v>
      </c>
      <c r="I22" s="107">
        <f t="shared" si="2"/>
        <v>9241.3778688</v>
      </c>
      <c r="J22" s="76"/>
      <c r="K22" s="73"/>
      <c r="L22" s="73"/>
      <c r="M22" s="73"/>
      <c r="N22" s="45"/>
      <c r="O22" s="45"/>
      <c r="P22" s="45"/>
      <c r="Q22" s="45"/>
      <c r="R22" s="45"/>
      <c r="S22" s="45"/>
      <c r="T22" s="45"/>
      <c r="U22" s="45"/>
    </row>
    <row r="23" s="44" customFormat="1" spans="1:21">
      <c r="A23" s="102" t="s">
        <v>341</v>
      </c>
      <c r="B23" s="103" t="s">
        <v>342</v>
      </c>
      <c r="C23" s="103" t="s">
        <v>343</v>
      </c>
      <c r="D23" s="104" t="s">
        <v>131</v>
      </c>
      <c r="E23" s="105">
        <f>2*24</f>
        <v>48</v>
      </c>
      <c r="F23" s="106">
        <v>1.92456</v>
      </c>
      <c r="G23" s="107">
        <f t="shared" si="0"/>
        <v>92.37888</v>
      </c>
      <c r="H23" s="107">
        <f t="shared" si="1"/>
        <v>8.3140992</v>
      </c>
      <c r="I23" s="107">
        <f t="shared" si="2"/>
        <v>100.6929792</v>
      </c>
      <c r="J23" s="76"/>
      <c r="K23" s="73"/>
      <c r="L23" s="73"/>
      <c r="M23" s="73"/>
      <c r="N23" s="45"/>
      <c r="O23" s="45"/>
      <c r="P23" s="45"/>
      <c r="Q23" s="45"/>
      <c r="R23" s="45"/>
      <c r="S23" s="45"/>
      <c r="T23" s="45"/>
      <c r="U23" s="45"/>
    </row>
    <row r="24" s="44" customFormat="1" spans="1:21">
      <c r="A24" s="102" t="s">
        <v>344</v>
      </c>
      <c r="B24" s="103" t="s">
        <v>345</v>
      </c>
      <c r="C24" s="103" t="s">
        <v>346</v>
      </c>
      <c r="D24" s="104" t="s">
        <v>152</v>
      </c>
      <c r="E24" s="105">
        <f>2*54</f>
        <v>108</v>
      </c>
      <c r="F24" s="106">
        <v>153.9648</v>
      </c>
      <c r="G24" s="107">
        <f t="shared" si="0"/>
        <v>16628.1984</v>
      </c>
      <c r="H24" s="107">
        <f t="shared" si="1"/>
        <v>1496.537856</v>
      </c>
      <c r="I24" s="107">
        <f t="shared" si="2"/>
        <v>18124.736256</v>
      </c>
      <c r="J24" s="76"/>
      <c r="K24" s="73"/>
      <c r="L24" s="73"/>
      <c r="M24" s="73"/>
      <c r="N24" s="45"/>
      <c r="O24" s="45"/>
      <c r="P24" s="45"/>
      <c r="Q24" s="45"/>
      <c r="R24" s="45"/>
      <c r="S24" s="45"/>
      <c r="T24" s="45"/>
      <c r="U24" s="45"/>
    </row>
    <row r="25" s="44" customFormat="1" spans="1:21">
      <c r="A25" s="102" t="s">
        <v>347</v>
      </c>
      <c r="B25" s="103" t="s">
        <v>348</v>
      </c>
      <c r="C25" s="103" t="s">
        <v>349</v>
      </c>
      <c r="D25" s="104" t="s">
        <v>131</v>
      </c>
      <c r="E25" s="105">
        <f>2*261</f>
        <v>522</v>
      </c>
      <c r="F25" s="106">
        <v>23.09472</v>
      </c>
      <c r="G25" s="107">
        <f t="shared" si="0"/>
        <v>12055.44384</v>
      </c>
      <c r="H25" s="107">
        <f t="shared" si="1"/>
        <v>1084.9899456</v>
      </c>
      <c r="I25" s="107">
        <f t="shared" si="2"/>
        <v>13140.4337856</v>
      </c>
      <c r="J25" s="76"/>
      <c r="K25" s="73"/>
      <c r="L25" s="73"/>
      <c r="M25" s="73"/>
      <c r="N25" s="45"/>
      <c r="O25" s="45"/>
      <c r="P25" s="45"/>
      <c r="Q25" s="45"/>
      <c r="R25" s="45"/>
      <c r="S25" s="45"/>
      <c r="T25" s="45"/>
      <c r="U25" s="45"/>
    </row>
    <row r="26" s="44" customFormat="1" spans="1:21">
      <c r="A26" s="102" t="s">
        <v>350</v>
      </c>
      <c r="B26" s="103" t="s">
        <v>351</v>
      </c>
      <c r="C26" s="103" t="s">
        <v>351</v>
      </c>
      <c r="D26" s="104" t="s">
        <v>352</v>
      </c>
      <c r="E26" s="105">
        <v>0</v>
      </c>
      <c r="F26" s="106">
        <v>28.22688</v>
      </c>
      <c r="G26" s="107">
        <f t="shared" si="0"/>
        <v>0</v>
      </c>
      <c r="H26" s="107">
        <f t="shared" si="1"/>
        <v>0</v>
      </c>
      <c r="I26" s="107">
        <f t="shared" si="2"/>
        <v>0</v>
      </c>
      <c r="J26" s="76"/>
      <c r="K26" s="73"/>
      <c r="L26" s="73"/>
      <c r="M26" s="73"/>
      <c r="N26" s="45"/>
      <c r="O26" s="45"/>
      <c r="P26" s="45"/>
      <c r="Q26" s="45"/>
      <c r="R26" s="45"/>
      <c r="S26" s="45"/>
      <c r="T26" s="45"/>
      <c r="U26" s="45"/>
    </row>
    <row r="27" s="44" customFormat="1" spans="1:21">
      <c r="A27" s="102" t="s">
        <v>353</v>
      </c>
      <c r="B27" s="103" t="s">
        <v>354</v>
      </c>
      <c r="C27" s="103" t="s">
        <v>354</v>
      </c>
      <c r="D27" s="104" t="s">
        <v>355</v>
      </c>
      <c r="E27" s="105">
        <f>2*90</f>
        <v>180</v>
      </c>
      <c r="F27" s="106">
        <v>3.84912</v>
      </c>
      <c r="G27" s="107">
        <f t="shared" si="0"/>
        <v>692.8416</v>
      </c>
      <c r="H27" s="107">
        <f t="shared" si="1"/>
        <v>62.355744</v>
      </c>
      <c r="I27" s="107">
        <f t="shared" si="2"/>
        <v>755.197344</v>
      </c>
      <c r="J27" s="76"/>
      <c r="K27" s="73"/>
      <c r="L27" s="73"/>
      <c r="M27" s="73"/>
      <c r="N27" s="45"/>
      <c r="O27" s="45"/>
      <c r="P27" s="45"/>
      <c r="Q27" s="45"/>
      <c r="R27" s="45"/>
      <c r="S27" s="45"/>
      <c r="T27" s="45"/>
      <c r="U27" s="45"/>
    </row>
    <row r="28" s="44" customFormat="1" spans="1:21">
      <c r="A28" s="102" t="s">
        <v>356</v>
      </c>
      <c r="B28" s="103" t="s">
        <v>357</v>
      </c>
      <c r="C28" s="103" t="s">
        <v>358</v>
      </c>
      <c r="D28" s="104" t="s">
        <v>319</v>
      </c>
      <c r="E28" s="105">
        <v>1080</v>
      </c>
      <c r="F28" s="106">
        <v>2.56608</v>
      </c>
      <c r="G28" s="107">
        <f t="shared" si="0"/>
        <v>2771.3664</v>
      </c>
      <c r="H28" s="107">
        <f t="shared" si="1"/>
        <v>249.422976</v>
      </c>
      <c r="I28" s="107">
        <f t="shared" si="2"/>
        <v>3020.789376</v>
      </c>
      <c r="J28" s="76"/>
      <c r="K28" s="73"/>
      <c r="L28" s="73"/>
      <c r="M28" s="73"/>
      <c r="N28" s="45"/>
      <c r="O28" s="45"/>
      <c r="P28" s="45"/>
      <c r="Q28" s="45"/>
      <c r="R28" s="45"/>
      <c r="S28" s="45"/>
      <c r="T28" s="45"/>
      <c r="U28" s="45"/>
    </row>
    <row r="29" s="81" customFormat="1" ht="15.75" spans="1:21">
      <c r="A29" s="102" t="s">
        <v>30</v>
      </c>
      <c r="B29" s="103">
        <v>0</v>
      </c>
      <c r="C29" s="103">
        <v>0</v>
      </c>
      <c r="D29" s="103">
        <v>0</v>
      </c>
      <c r="E29" s="108">
        <v>0</v>
      </c>
      <c r="F29" s="108">
        <v>0</v>
      </c>
      <c r="G29" s="109">
        <v>0</v>
      </c>
      <c r="H29" s="109">
        <v>0</v>
      </c>
      <c r="I29" s="109">
        <v>0</v>
      </c>
      <c r="J29" s="79"/>
      <c r="K29" s="126"/>
      <c r="L29" s="126"/>
      <c r="M29" s="126"/>
      <c r="N29" s="127"/>
      <c r="O29" s="127"/>
      <c r="P29" s="127"/>
      <c r="Q29" s="127"/>
      <c r="R29" s="127"/>
      <c r="S29" s="127"/>
      <c r="T29" s="127"/>
      <c r="U29" s="127"/>
    </row>
    <row r="30" s="82" customFormat="1" ht="12.75" spans="1:21">
      <c r="A30" s="65" t="s">
        <v>32</v>
      </c>
      <c r="B30" s="66"/>
      <c r="C30" s="66"/>
      <c r="D30" s="66"/>
      <c r="E30" s="66"/>
      <c r="F30" s="66"/>
      <c r="G30" s="66"/>
      <c r="H30" s="66"/>
      <c r="I30" s="66"/>
      <c r="J30" s="80" t="s">
        <v>33</v>
      </c>
      <c r="K30" s="128"/>
      <c r="L30" s="128"/>
      <c r="M30" s="128"/>
      <c r="N30" s="129"/>
      <c r="O30" s="129"/>
      <c r="P30" s="129"/>
      <c r="Q30" s="129"/>
      <c r="R30" s="129"/>
      <c r="S30" s="129"/>
      <c r="T30" s="129"/>
      <c r="U30" s="129"/>
    </row>
    <row r="32" ht="23.25" spans="1:10">
      <c r="A32" s="83"/>
      <c r="B32" s="72"/>
      <c r="C32" s="72"/>
      <c r="D32" s="46" t="s">
        <v>289</v>
      </c>
      <c r="E32" s="72"/>
      <c r="F32" s="72"/>
      <c r="G32" s="72"/>
      <c r="H32" s="72"/>
      <c r="I32" s="72"/>
      <c r="J32" s="72"/>
    </row>
    <row r="33" spans="1:10">
      <c r="A33" s="83"/>
      <c r="B33" s="84"/>
      <c r="C33" s="84"/>
      <c r="D33" s="85" t="s">
        <v>290</v>
      </c>
      <c r="E33" s="84"/>
      <c r="F33" s="84"/>
      <c r="G33" s="84"/>
      <c r="H33" s="84"/>
      <c r="I33" s="84"/>
      <c r="J33" s="84"/>
    </row>
    <row r="34" spans="1:10">
      <c r="A34" s="110" t="str">
        <f>表一!A2</f>
        <v>工程名称：杭州钱塘区下沙街道开发区电力隧道（一期二标）信号覆盖建设工程</v>
      </c>
      <c r="B34" s="87"/>
      <c r="C34" s="87"/>
      <c r="D34" s="88"/>
      <c r="E34" s="89"/>
      <c r="F34" s="87"/>
      <c r="G34" s="89"/>
      <c r="H34" s="89"/>
      <c r="I34" s="89"/>
      <c r="J34" s="120" t="s">
        <v>359</v>
      </c>
    </row>
    <row r="35" ht="13.5" spans="1:10">
      <c r="A35" s="90" t="s">
        <v>4</v>
      </c>
      <c r="B35" s="91" t="s">
        <v>292</v>
      </c>
      <c r="C35" s="92" t="s">
        <v>293</v>
      </c>
      <c r="D35" s="93" t="s">
        <v>234</v>
      </c>
      <c r="E35" s="91" t="s">
        <v>294</v>
      </c>
      <c r="F35" s="94" t="s">
        <v>295</v>
      </c>
      <c r="G35" s="94" t="s">
        <v>296</v>
      </c>
      <c r="H35" s="95"/>
      <c r="I35" s="121"/>
      <c r="J35" s="122" t="s">
        <v>190</v>
      </c>
    </row>
    <row r="36" ht="13.5" spans="1:10">
      <c r="A36" s="96"/>
      <c r="B36" s="97"/>
      <c r="C36" s="97"/>
      <c r="D36" s="97"/>
      <c r="E36" s="97"/>
      <c r="F36" s="98" t="s">
        <v>19</v>
      </c>
      <c r="G36" s="98" t="s">
        <v>19</v>
      </c>
      <c r="H36" s="98" t="s">
        <v>20</v>
      </c>
      <c r="I36" s="98" t="s">
        <v>21</v>
      </c>
      <c r="J36" s="123"/>
    </row>
    <row r="37" ht="13.5" spans="1:10">
      <c r="A37" s="99" t="s">
        <v>38</v>
      </c>
      <c r="B37" s="100" t="s">
        <v>39</v>
      </c>
      <c r="C37" s="100" t="s">
        <v>40</v>
      </c>
      <c r="D37" s="100" t="s">
        <v>41</v>
      </c>
      <c r="E37" s="100" t="s">
        <v>124</v>
      </c>
      <c r="F37" s="101" t="s">
        <v>125</v>
      </c>
      <c r="G37" s="101" t="s">
        <v>128</v>
      </c>
      <c r="H37" s="101" t="s">
        <v>208</v>
      </c>
      <c r="I37" s="124" t="s">
        <v>297</v>
      </c>
      <c r="J37" s="125" t="s">
        <v>298</v>
      </c>
    </row>
    <row r="38" ht="13.5" spans="1:10">
      <c r="A38" s="102" t="s">
        <v>30</v>
      </c>
      <c r="B38" s="103">
        <v>0</v>
      </c>
      <c r="C38" s="103">
        <v>0</v>
      </c>
      <c r="D38" s="103">
        <v>0</v>
      </c>
      <c r="E38" s="108">
        <v>0</v>
      </c>
      <c r="F38" s="108">
        <v>0</v>
      </c>
      <c r="G38" s="107">
        <v>0</v>
      </c>
      <c r="H38" s="107">
        <v>0</v>
      </c>
      <c r="I38" s="130">
        <v>0</v>
      </c>
      <c r="J38" s="130"/>
    </row>
    <row r="39" ht="13.5" spans="1:10">
      <c r="A39" s="102" t="s">
        <v>30</v>
      </c>
      <c r="B39" s="103">
        <v>0</v>
      </c>
      <c r="C39" s="103">
        <v>0</v>
      </c>
      <c r="D39" s="103">
        <v>0</v>
      </c>
      <c r="E39" s="108">
        <v>0</v>
      </c>
      <c r="F39" s="108">
        <v>0</v>
      </c>
      <c r="G39" s="107">
        <v>0</v>
      </c>
      <c r="H39" s="107">
        <v>0</v>
      </c>
      <c r="I39" s="130">
        <v>0</v>
      </c>
      <c r="J39" s="130"/>
    </row>
    <row r="40" ht="13.5" spans="1:10">
      <c r="A40" s="102" t="s">
        <v>30</v>
      </c>
      <c r="B40" s="103">
        <v>0</v>
      </c>
      <c r="C40" s="103">
        <v>0</v>
      </c>
      <c r="D40" s="103">
        <v>0</v>
      </c>
      <c r="E40" s="108">
        <v>0</v>
      </c>
      <c r="F40" s="108">
        <v>0</v>
      </c>
      <c r="G40" s="107"/>
      <c r="H40" s="107">
        <v>0</v>
      </c>
      <c r="I40" s="130">
        <v>0</v>
      </c>
      <c r="J40" s="130"/>
    </row>
    <row r="41" ht="13.5" spans="1:10">
      <c r="A41" s="102" t="s">
        <v>30</v>
      </c>
      <c r="B41" s="103">
        <v>0</v>
      </c>
      <c r="C41" s="103">
        <v>0</v>
      </c>
      <c r="D41" s="103">
        <v>0</v>
      </c>
      <c r="E41" s="108">
        <v>0</v>
      </c>
      <c r="F41" s="108">
        <v>0</v>
      </c>
      <c r="G41" s="107">
        <v>0</v>
      </c>
      <c r="H41" s="107">
        <v>0</v>
      </c>
      <c r="I41" s="130">
        <v>0</v>
      </c>
      <c r="J41" s="130"/>
    </row>
    <row r="42" ht="13.5" spans="1:10">
      <c r="A42" s="102" t="s">
        <v>30</v>
      </c>
      <c r="B42" s="103">
        <v>0</v>
      </c>
      <c r="C42" s="103">
        <v>0</v>
      </c>
      <c r="D42" s="103">
        <v>0</v>
      </c>
      <c r="E42" s="108">
        <v>0</v>
      </c>
      <c r="F42" s="108">
        <v>0</v>
      </c>
      <c r="G42" s="107">
        <v>0</v>
      </c>
      <c r="H42" s="107">
        <v>0</v>
      </c>
      <c r="I42" s="130">
        <v>0</v>
      </c>
      <c r="J42" s="130">
        <f t="shared" ref="J42:J47" si="3">SUM(B42:I42)</f>
        <v>0</v>
      </c>
    </row>
    <row r="43" ht="13.5" spans="1:10">
      <c r="A43" s="102" t="s">
        <v>30</v>
      </c>
      <c r="B43" s="103">
        <v>0</v>
      </c>
      <c r="C43" s="103">
        <v>0</v>
      </c>
      <c r="D43" s="103">
        <v>0</v>
      </c>
      <c r="E43" s="108">
        <v>0</v>
      </c>
      <c r="F43" s="108">
        <v>0</v>
      </c>
      <c r="G43" s="107">
        <v>0</v>
      </c>
      <c r="H43" s="107">
        <v>0</v>
      </c>
      <c r="I43" s="130">
        <v>0</v>
      </c>
      <c r="J43" s="130">
        <f t="shared" si="3"/>
        <v>0</v>
      </c>
    </row>
    <row r="44" ht="13.5" spans="1:10">
      <c r="A44" s="102" t="s">
        <v>30</v>
      </c>
      <c r="B44" s="103">
        <v>0</v>
      </c>
      <c r="C44" s="103">
        <v>0</v>
      </c>
      <c r="D44" s="103">
        <v>0</v>
      </c>
      <c r="E44" s="108">
        <v>0</v>
      </c>
      <c r="F44" s="108">
        <v>0</v>
      </c>
      <c r="G44" s="107">
        <v>0</v>
      </c>
      <c r="H44" s="107">
        <v>0</v>
      </c>
      <c r="I44" s="130">
        <v>0</v>
      </c>
      <c r="J44" s="130">
        <f t="shared" si="3"/>
        <v>0</v>
      </c>
    </row>
    <row r="45" ht="13.5" spans="1:10">
      <c r="A45" s="102" t="s">
        <v>30</v>
      </c>
      <c r="B45" s="103">
        <v>0</v>
      </c>
      <c r="C45" s="103">
        <v>0</v>
      </c>
      <c r="D45" s="103">
        <v>0</v>
      </c>
      <c r="E45" s="108">
        <v>0</v>
      </c>
      <c r="F45" s="108">
        <v>0</v>
      </c>
      <c r="G45" s="107">
        <v>0</v>
      </c>
      <c r="H45" s="107">
        <v>0</v>
      </c>
      <c r="I45" s="130">
        <v>0</v>
      </c>
      <c r="J45" s="130">
        <f t="shared" si="3"/>
        <v>0</v>
      </c>
    </row>
    <row r="46" ht="13.5" spans="1:10">
      <c r="A46" s="102" t="s">
        <v>30</v>
      </c>
      <c r="B46" s="103">
        <v>0</v>
      </c>
      <c r="C46" s="103">
        <v>0</v>
      </c>
      <c r="D46" s="103">
        <v>0</v>
      </c>
      <c r="E46" s="108">
        <v>0</v>
      </c>
      <c r="F46" s="108">
        <v>0</v>
      </c>
      <c r="G46" s="107">
        <v>0</v>
      </c>
      <c r="H46" s="107">
        <v>0</v>
      </c>
      <c r="I46" s="130">
        <v>0</v>
      </c>
      <c r="J46" s="130">
        <f t="shared" si="3"/>
        <v>0</v>
      </c>
    </row>
    <row r="47" ht="13.5" spans="1:10">
      <c r="A47" s="102" t="s">
        <v>30</v>
      </c>
      <c r="B47" s="103">
        <v>0</v>
      </c>
      <c r="C47" s="103">
        <v>0</v>
      </c>
      <c r="D47" s="103">
        <v>0</v>
      </c>
      <c r="E47" s="108">
        <v>0</v>
      </c>
      <c r="F47" s="108">
        <v>0</v>
      </c>
      <c r="G47" s="107">
        <v>0</v>
      </c>
      <c r="H47" s="107">
        <v>0</v>
      </c>
      <c r="I47" s="130">
        <v>0</v>
      </c>
      <c r="J47" s="130">
        <f t="shared" si="3"/>
        <v>0</v>
      </c>
    </row>
    <row r="48" ht="13.5" spans="1:10">
      <c r="A48" s="102" t="s">
        <v>30</v>
      </c>
      <c r="B48" s="103">
        <v>0</v>
      </c>
      <c r="C48" s="103">
        <v>0</v>
      </c>
      <c r="D48" s="103">
        <v>0</v>
      </c>
      <c r="E48" s="108">
        <v>0</v>
      </c>
      <c r="F48" s="108">
        <v>0</v>
      </c>
      <c r="G48" s="107">
        <v>0</v>
      </c>
      <c r="H48" s="107">
        <v>0</v>
      </c>
      <c r="I48" s="130">
        <v>0</v>
      </c>
      <c r="J48" s="130"/>
    </row>
    <row r="49" ht="13.5" spans="1:10">
      <c r="A49" s="102" t="s">
        <v>30</v>
      </c>
      <c r="B49" s="103">
        <v>0</v>
      </c>
      <c r="C49" s="103">
        <v>0</v>
      </c>
      <c r="D49" s="103">
        <v>0</v>
      </c>
      <c r="E49" s="108">
        <v>0</v>
      </c>
      <c r="F49" s="108">
        <v>0</v>
      </c>
      <c r="G49" s="107">
        <v>0</v>
      </c>
      <c r="H49" s="107">
        <v>0</v>
      </c>
      <c r="I49" s="130">
        <v>0</v>
      </c>
      <c r="J49" s="130"/>
    </row>
    <row r="50" ht="13.5" spans="1:10">
      <c r="A50" s="102" t="s">
        <v>30</v>
      </c>
      <c r="B50" s="103">
        <v>0</v>
      </c>
      <c r="C50" s="103">
        <v>0</v>
      </c>
      <c r="D50" s="103">
        <v>0</v>
      </c>
      <c r="E50" s="108">
        <v>0</v>
      </c>
      <c r="F50" s="108">
        <v>0</v>
      </c>
      <c r="G50" s="107">
        <v>0</v>
      </c>
      <c r="H50" s="107">
        <v>0</v>
      </c>
      <c r="I50" s="130">
        <v>0</v>
      </c>
      <c r="J50" s="130"/>
    </row>
    <row r="51" ht="13.5" spans="1:10">
      <c r="A51" s="102" t="s">
        <v>30</v>
      </c>
      <c r="B51" s="103">
        <v>0</v>
      </c>
      <c r="C51" s="103">
        <v>0</v>
      </c>
      <c r="D51" s="103">
        <v>0</v>
      </c>
      <c r="E51" s="108">
        <v>0</v>
      </c>
      <c r="F51" s="108">
        <v>0</v>
      </c>
      <c r="G51" s="107">
        <v>0</v>
      </c>
      <c r="H51" s="107">
        <v>0</v>
      </c>
      <c r="I51" s="130">
        <v>0</v>
      </c>
      <c r="J51" s="130"/>
    </row>
    <row r="52" ht="13.5" spans="1:10">
      <c r="A52" s="102"/>
      <c r="B52" s="103"/>
      <c r="C52" s="103"/>
      <c r="D52" s="103"/>
      <c r="E52" s="108"/>
      <c r="F52" s="108"/>
      <c r="G52" s="107"/>
      <c r="H52" s="107"/>
      <c r="I52" s="130"/>
      <c r="J52" s="130"/>
    </row>
    <row r="53" ht="13.5" spans="1:10">
      <c r="A53" s="102" t="s">
        <v>30</v>
      </c>
      <c r="B53" s="103">
        <v>0</v>
      </c>
      <c r="C53" s="103">
        <v>0</v>
      </c>
      <c r="D53" s="103">
        <v>0</v>
      </c>
      <c r="E53" s="108">
        <v>0</v>
      </c>
      <c r="F53" s="108">
        <v>0</v>
      </c>
      <c r="G53" s="107">
        <v>0</v>
      </c>
      <c r="H53" s="107">
        <v>0</v>
      </c>
      <c r="I53" s="130">
        <v>0</v>
      </c>
      <c r="J53" s="130"/>
    </row>
    <row r="54" ht="13.5" spans="1:10">
      <c r="A54" s="102" t="s">
        <v>30</v>
      </c>
      <c r="B54" s="103">
        <v>0</v>
      </c>
      <c r="C54" s="103">
        <v>0</v>
      </c>
      <c r="D54" s="103">
        <v>0</v>
      </c>
      <c r="E54" s="108">
        <v>0</v>
      </c>
      <c r="F54" s="108">
        <v>0</v>
      </c>
      <c r="G54" s="107">
        <v>0</v>
      </c>
      <c r="H54" s="107">
        <v>0</v>
      </c>
      <c r="I54" s="130">
        <v>0</v>
      </c>
      <c r="J54" s="130"/>
    </row>
    <row r="55" ht="13.5" spans="1:10">
      <c r="A55" s="102" t="s">
        <v>30</v>
      </c>
      <c r="B55" s="103">
        <v>0</v>
      </c>
      <c r="C55" s="103">
        <v>0</v>
      </c>
      <c r="D55" s="103">
        <v>0</v>
      </c>
      <c r="E55" s="108">
        <v>0</v>
      </c>
      <c r="F55" s="108">
        <v>0</v>
      </c>
      <c r="G55" s="107">
        <v>0</v>
      </c>
      <c r="H55" s="107">
        <v>0</v>
      </c>
      <c r="I55" s="130">
        <v>0</v>
      </c>
      <c r="J55" s="130"/>
    </row>
    <row r="56" ht="13.5" spans="1:10">
      <c r="A56" s="102" t="s">
        <v>30</v>
      </c>
      <c r="B56" s="103">
        <v>0</v>
      </c>
      <c r="C56" s="103">
        <v>0</v>
      </c>
      <c r="D56" s="103">
        <v>0</v>
      </c>
      <c r="E56" s="108">
        <v>0</v>
      </c>
      <c r="F56" s="108">
        <v>0</v>
      </c>
      <c r="G56" s="107">
        <v>0</v>
      </c>
      <c r="H56" s="107"/>
      <c r="I56" s="130">
        <v>0</v>
      </c>
      <c r="J56" s="130"/>
    </row>
    <row r="57" ht="13.5" spans="1:10">
      <c r="A57" s="111"/>
      <c r="B57" s="112"/>
      <c r="C57" s="113"/>
      <c r="D57" s="100"/>
      <c r="E57" s="114"/>
      <c r="F57" s="107"/>
      <c r="G57" s="107"/>
      <c r="H57" s="107"/>
      <c r="I57" s="130"/>
      <c r="J57" s="76"/>
    </row>
    <row r="58" ht="13.5" spans="1:10">
      <c r="A58" s="115"/>
      <c r="B58" s="112" t="s">
        <v>286</v>
      </c>
      <c r="C58" s="113"/>
      <c r="D58" s="100"/>
      <c r="E58" s="114"/>
      <c r="F58" s="107"/>
      <c r="G58" s="107">
        <f>G60*1%</f>
        <v>3864.15448246853</v>
      </c>
      <c r="H58" s="107"/>
      <c r="I58" s="130"/>
      <c r="J58" s="76"/>
    </row>
    <row r="59" ht="13.5" spans="1:10">
      <c r="A59" s="111" t="s">
        <v>30</v>
      </c>
      <c r="B59" s="112" t="s">
        <v>287</v>
      </c>
      <c r="C59" s="113"/>
      <c r="D59" s="100"/>
      <c r="E59" s="114"/>
      <c r="F59" s="107"/>
      <c r="G59" s="107">
        <f>G60*1.6%</f>
        <v>6182.64717194964</v>
      </c>
      <c r="H59" s="107"/>
      <c r="I59" s="107"/>
      <c r="J59" s="76"/>
    </row>
    <row r="60" spans="1:10">
      <c r="A60" s="116" t="s">
        <v>30</v>
      </c>
      <c r="B60" s="112" t="s">
        <v>360</v>
      </c>
      <c r="C60" s="117"/>
      <c r="D60" s="118"/>
      <c r="E60" s="119"/>
      <c r="F60" s="119"/>
      <c r="G60" s="119">
        <f>SUM(G7:G28)</f>
        <v>386415.448246853</v>
      </c>
      <c r="H60" s="109"/>
      <c r="I60" s="109"/>
      <c r="J60" s="79"/>
    </row>
    <row r="61" ht="13.5" spans="1:10">
      <c r="A61" s="65" t="s">
        <v>32</v>
      </c>
      <c r="B61" s="66"/>
      <c r="C61" s="66"/>
      <c r="D61" s="66"/>
      <c r="E61" s="66"/>
      <c r="F61" s="66"/>
      <c r="G61" s="66"/>
      <c r="H61" s="66"/>
      <c r="I61" s="66"/>
      <c r="J61" s="80" t="s">
        <v>33</v>
      </c>
    </row>
  </sheetData>
  <mergeCells count="12">
    <mergeCell ref="A4:A5"/>
    <mergeCell ref="A35:A36"/>
    <mergeCell ref="B4:B5"/>
    <mergeCell ref="B35:B36"/>
    <mergeCell ref="C4:C5"/>
    <mergeCell ref="C35:C36"/>
    <mergeCell ref="D4:D5"/>
    <mergeCell ref="D35:D36"/>
    <mergeCell ref="E4:E5"/>
    <mergeCell ref="E35:E36"/>
    <mergeCell ref="J4:J5"/>
    <mergeCell ref="J35:J36"/>
  </mergeCells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ZG30"/>
  <sheetViews>
    <sheetView view="pageBreakPreview" zoomScaleNormal="100" workbookViewId="0">
      <pane ySplit="4" topLeftCell="A5" activePane="bottomLeft" state="frozen"/>
      <selection/>
      <selection pane="bottomLeft" activeCell="P22" sqref="P22"/>
    </sheetView>
  </sheetViews>
  <sheetFormatPr defaultColWidth="10" defaultRowHeight="14.25"/>
  <cols>
    <col min="1" max="1" width="5.5" style="44" customWidth="1"/>
    <col min="2" max="2" width="21.75" style="44" customWidth="1"/>
    <col min="3" max="3" width="28.125" style="44" customWidth="1"/>
    <col min="4" max="4" width="5.25833333333333" style="44" customWidth="1"/>
    <col min="5" max="7" width="10.125" style="44" customWidth="1"/>
    <col min="8" max="9" width="10.125" style="44" hidden="1" customWidth="1"/>
    <col min="10" max="12" width="10.125" style="44" customWidth="1"/>
    <col min="13" max="14" width="10.125" style="44" hidden="1" customWidth="1"/>
    <col min="15" max="16" width="10.125" style="44" customWidth="1"/>
    <col min="17" max="17" width="10.125" style="44" hidden="1" customWidth="1"/>
    <col min="18" max="18" width="22.625" style="44" customWidth="1"/>
    <col min="19" max="29" width="9" style="45"/>
    <col min="30" max="256" width="9" style="44"/>
    <col min="257" max="257" width="5.5" style="44" customWidth="1"/>
    <col min="258" max="258" width="22.875" style="44" customWidth="1"/>
    <col min="259" max="259" width="21.5" style="44" customWidth="1"/>
    <col min="260" max="260" width="5.25833333333333" style="44" customWidth="1"/>
    <col min="261" max="263" width="10.125" style="44" customWidth="1"/>
    <col min="264" max="265" width="10.125" style="44" hidden="1" customWidth="1"/>
    <col min="266" max="268" width="10.125" style="44" customWidth="1"/>
    <col min="269" max="270" width="10.125" style="44" hidden="1" customWidth="1"/>
    <col min="271" max="272" width="10.125" style="44" customWidth="1"/>
    <col min="273" max="273" width="10.125" style="44" hidden="1" customWidth="1"/>
    <col min="274" max="274" width="22.625" style="44" customWidth="1"/>
    <col min="275" max="512" width="9" style="44"/>
    <col min="513" max="513" width="5.5" style="44" customWidth="1"/>
    <col min="514" max="514" width="22.875" style="44" customWidth="1"/>
    <col min="515" max="515" width="21.5" style="44" customWidth="1"/>
    <col min="516" max="516" width="5.25833333333333" style="44" customWidth="1"/>
    <col min="517" max="519" width="10.125" style="44" customWidth="1"/>
    <col min="520" max="521" width="10.125" style="44" hidden="1" customWidth="1"/>
    <col min="522" max="524" width="10.125" style="44" customWidth="1"/>
    <col min="525" max="526" width="10.125" style="44" hidden="1" customWidth="1"/>
    <col min="527" max="528" width="10.125" style="44" customWidth="1"/>
    <col min="529" max="529" width="10.125" style="44" hidden="1" customWidth="1"/>
    <col min="530" max="530" width="22.625" style="44" customWidth="1"/>
    <col min="531" max="768" width="9" style="44"/>
    <col min="769" max="769" width="5.5" style="44" customWidth="1"/>
    <col min="770" max="770" width="22.875" style="44" customWidth="1"/>
    <col min="771" max="771" width="21.5" style="44" customWidth="1"/>
    <col min="772" max="772" width="5.25833333333333" style="44" customWidth="1"/>
    <col min="773" max="775" width="10.125" style="44" customWidth="1"/>
    <col min="776" max="777" width="10.125" style="44" hidden="1" customWidth="1"/>
    <col min="778" max="780" width="10.125" style="44" customWidth="1"/>
    <col min="781" max="782" width="10.125" style="44" hidden="1" customWidth="1"/>
    <col min="783" max="784" width="10.125" style="44" customWidth="1"/>
    <col min="785" max="785" width="10.125" style="44" hidden="1" customWidth="1"/>
    <col min="786" max="786" width="22.625" style="44" customWidth="1"/>
    <col min="787" max="1024" width="9" style="44"/>
    <col min="1025" max="1025" width="5.5" style="44" customWidth="1"/>
    <col min="1026" max="1026" width="22.875" style="44" customWidth="1"/>
    <col min="1027" max="1027" width="21.5" style="44" customWidth="1"/>
    <col min="1028" max="1028" width="5.25833333333333" style="44" customWidth="1"/>
    <col min="1029" max="1031" width="10.125" style="44" customWidth="1"/>
    <col min="1032" max="1033" width="10.125" style="44" hidden="1" customWidth="1"/>
    <col min="1034" max="1036" width="10.125" style="44" customWidth="1"/>
    <col min="1037" max="1038" width="10.125" style="44" hidden="1" customWidth="1"/>
    <col min="1039" max="1040" width="10.125" style="44" customWidth="1"/>
    <col min="1041" max="1041" width="10.125" style="44" hidden="1" customWidth="1"/>
    <col min="1042" max="1042" width="22.625" style="44" customWidth="1"/>
    <col min="1043" max="1280" width="9" style="44"/>
    <col min="1281" max="1281" width="5.5" style="44" customWidth="1"/>
    <col min="1282" max="1282" width="22.875" style="44" customWidth="1"/>
    <col min="1283" max="1283" width="21.5" style="44" customWidth="1"/>
    <col min="1284" max="1284" width="5.25833333333333" style="44" customWidth="1"/>
    <col min="1285" max="1287" width="10.125" style="44" customWidth="1"/>
    <col min="1288" max="1289" width="10.125" style="44" hidden="1" customWidth="1"/>
    <col min="1290" max="1292" width="10.125" style="44" customWidth="1"/>
    <col min="1293" max="1294" width="10.125" style="44" hidden="1" customWidth="1"/>
    <col min="1295" max="1296" width="10.125" style="44" customWidth="1"/>
    <col min="1297" max="1297" width="10.125" style="44" hidden="1" customWidth="1"/>
    <col min="1298" max="1298" width="22.625" style="44" customWidth="1"/>
    <col min="1299" max="1536" width="9" style="44"/>
    <col min="1537" max="1537" width="5.5" style="44" customWidth="1"/>
    <col min="1538" max="1538" width="22.875" style="44" customWidth="1"/>
    <col min="1539" max="1539" width="21.5" style="44" customWidth="1"/>
    <col min="1540" max="1540" width="5.25833333333333" style="44" customWidth="1"/>
    <col min="1541" max="1543" width="10.125" style="44" customWidth="1"/>
    <col min="1544" max="1545" width="10.125" style="44" hidden="1" customWidth="1"/>
    <col min="1546" max="1548" width="10.125" style="44" customWidth="1"/>
    <col min="1549" max="1550" width="10.125" style="44" hidden="1" customWidth="1"/>
    <col min="1551" max="1552" width="10.125" style="44" customWidth="1"/>
    <col min="1553" max="1553" width="10.125" style="44" hidden="1" customWidth="1"/>
    <col min="1554" max="1554" width="22.625" style="44" customWidth="1"/>
    <col min="1555" max="1792" width="9" style="44"/>
    <col min="1793" max="1793" width="5.5" style="44" customWidth="1"/>
    <col min="1794" max="1794" width="22.875" style="44" customWidth="1"/>
    <col min="1795" max="1795" width="21.5" style="44" customWidth="1"/>
    <col min="1796" max="1796" width="5.25833333333333" style="44" customWidth="1"/>
    <col min="1797" max="1799" width="10.125" style="44" customWidth="1"/>
    <col min="1800" max="1801" width="10.125" style="44" hidden="1" customWidth="1"/>
    <col min="1802" max="1804" width="10.125" style="44" customWidth="1"/>
    <col min="1805" max="1806" width="10.125" style="44" hidden="1" customWidth="1"/>
    <col min="1807" max="1808" width="10.125" style="44" customWidth="1"/>
    <col min="1809" max="1809" width="10.125" style="44" hidden="1" customWidth="1"/>
    <col min="1810" max="1810" width="22.625" style="44" customWidth="1"/>
    <col min="1811" max="2048" width="9" style="44"/>
    <col min="2049" max="2049" width="5.5" style="44" customWidth="1"/>
    <col min="2050" max="2050" width="22.875" style="44" customWidth="1"/>
    <col min="2051" max="2051" width="21.5" style="44" customWidth="1"/>
    <col min="2052" max="2052" width="5.25833333333333" style="44" customWidth="1"/>
    <col min="2053" max="2055" width="10.125" style="44" customWidth="1"/>
    <col min="2056" max="2057" width="10.125" style="44" hidden="1" customWidth="1"/>
    <col min="2058" max="2060" width="10.125" style="44" customWidth="1"/>
    <col min="2061" max="2062" width="10.125" style="44" hidden="1" customWidth="1"/>
    <col min="2063" max="2064" width="10.125" style="44" customWidth="1"/>
    <col min="2065" max="2065" width="10.125" style="44" hidden="1" customWidth="1"/>
    <col min="2066" max="2066" width="22.625" style="44" customWidth="1"/>
    <col min="2067" max="2304" width="9" style="44"/>
    <col min="2305" max="2305" width="5.5" style="44" customWidth="1"/>
    <col min="2306" max="2306" width="22.875" style="44" customWidth="1"/>
    <col min="2307" max="2307" width="21.5" style="44" customWidth="1"/>
    <col min="2308" max="2308" width="5.25833333333333" style="44" customWidth="1"/>
    <col min="2309" max="2311" width="10.125" style="44" customWidth="1"/>
    <col min="2312" max="2313" width="10.125" style="44" hidden="1" customWidth="1"/>
    <col min="2314" max="2316" width="10.125" style="44" customWidth="1"/>
    <col min="2317" max="2318" width="10.125" style="44" hidden="1" customWidth="1"/>
    <col min="2319" max="2320" width="10.125" style="44" customWidth="1"/>
    <col min="2321" max="2321" width="10.125" style="44" hidden="1" customWidth="1"/>
    <col min="2322" max="2322" width="22.625" style="44" customWidth="1"/>
    <col min="2323" max="2560" width="9" style="44"/>
    <col min="2561" max="2561" width="5.5" style="44" customWidth="1"/>
    <col min="2562" max="2562" width="22.875" style="44" customWidth="1"/>
    <col min="2563" max="2563" width="21.5" style="44" customWidth="1"/>
    <col min="2564" max="2564" width="5.25833333333333" style="44" customWidth="1"/>
    <col min="2565" max="2567" width="10.125" style="44" customWidth="1"/>
    <col min="2568" max="2569" width="10.125" style="44" hidden="1" customWidth="1"/>
    <col min="2570" max="2572" width="10.125" style="44" customWidth="1"/>
    <col min="2573" max="2574" width="10.125" style="44" hidden="1" customWidth="1"/>
    <col min="2575" max="2576" width="10.125" style="44" customWidth="1"/>
    <col min="2577" max="2577" width="10.125" style="44" hidden="1" customWidth="1"/>
    <col min="2578" max="2578" width="22.625" style="44" customWidth="1"/>
    <col min="2579" max="2816" width="9" style="44"/>
    <col min="2817" max="2817" width="5.5" style="44" customWidth="1"/>
    <col min="2818" max="2818" width="22.875" style="44" customWidth="1"/>
    <col min="2819" max="2819" width="21.5" style="44" customWidth="1"/>
    <col min="2820" max="2820" width="5.25833333333333" style="44" customWidth="1"/>
    <col min="2821" max="2823" width="10.125" style="44" customWidth="1"/>
    <col min="2824" max="2825" width="10.125" style="44" hidden="1" customWidth="1"/>
    <col min="2826" max="2828" width="10.125" style="44" customWidth="1"/>
    <col min="2829" max="2830" width="10.125" style="44" hidden="1" customWidth="1"/>
    <col min="2831" max="2832" width="10.125" style="44" customWidth="1"/>
    <col min="2833" max="2833" width="10.125" style="44" hidden="1" customWidth="1"/>
    <col min="2834" max="2834" width="22.625" style="44" customWidth="1"/>
    <col min="2835" max="3072" width="9" style="44"/>
    <col min="3073" max="3073" width="5.5" style="44" customWidth="1"/>
    <col min="3074" max="3074" width="22.875" style="44" customWidth="1"/>
    <col min="3075" max="3075" width="21.5" style="44" customWidth="1"/>
    <col min="3076" max="3076" width="5.25833333333333" style="44" customWidth="1"/>
    <col min="3077" max="3079" width="10.125" style="44" customWidth="1"/>
    <col min="3080" max="3081" width="10.125" style="44" hidden="1" customWidth="1"/>
    <col min="3082" max="3084" width="10.125" style="44" customWidth="1"/>
    <col min="3085" max="3086" width="10.125" style="44" hidden="1" customWidth="1"/>
    <col min="3087" max="3088" width="10.125" style="44" customWidth="1"/>
    <col min="3089" max="3089" width="10.125" style="44" hidden="1" customWidth="1"/>
    <col min="3090" max="3090" width="22.625" style="44" customWidth="1"/>
    <col min="3091" max="3328" width="9" style="44"/>
    <col min="3329" max="3329" width="5.5" style="44" customWidth="1"/>
    <col min="3330" max="3330" width="22.875" style="44" customWidth="1"/>
    <col min="3331" max="3331" width="21.5" style="44" customWidth="1"/>
    <col min="3332" max="3332" width="5.25833333333333" style="44" customWidth="1"/>
    <col min="3333" max="3335" width="10.125" style="44" customWidth="1"/>
    <col min="3336" max="3337" width="10.125" style="44" hidden="1" customWidth="1"/>
    <col min="3338" max="3340" width="10.125" style="44" customWidth="1"/>
    <col min="3341" max="3342" width="10.125" style="44" hidden="1" customWidth="1"/>
    <col min="3343" max="3344" width="10.125" style="44" customWidth="1"/>
    <col min="3345" max="3345" width="10.125" style="44" hidden="1" customWidth="1"/>
    <col min="3346" max="3346" width="22.625" style="44" customWidth="1"/>
    <col min="3347" max="3584" width="9" style="44"/>
    <col min="3585" max="3585" width="5.5" style="44" customWidth="1"/>
    <col min="3586" max="3586" width="22.875" style="44" customWidth="1"/>
    <col min="3587" max="3587" width="21.5" style="44" customWidth="1"/>
    <col min="3588" max="3588" width="5.25833333333333" style="44" customWidth="1"/>
    <col min="3589" max="3591" width="10.125" style="44" customWidth="1"/>
    <col min="3592" max="3593" width="10.125" style="44" hidden="1" customWidth="1"/>
    <col min="3594" max="3596" width="10.125" style="44" customWidth="1"/>
    <col min="3597" max="3598" width="10.125" style="44" hidden="1" customWidth="1"/>
    <col min="3599" max="3600" width="10.125" style="44" customWidth="1"/>
    <col min="3601" max="3601" width="10.125" style="44" hidden="1" customWidth="1"/>
    <col min="3602" max="3602" width="22.625" style="44" customWidth="1"/>
    <col min="3603" max="3840" width="9" style="44"/>
    <col min="3841" max="3841" width="5.5" style="44" customWidth="1"/>
    <col min="3842" max="3842" width="22.875" style="44" customWidth="1"/>
    <col min="3843" max="3843" width="21.5" style="44" customWidth="1"/>
    <col min="3844" max="3844" width="5.25833333333333" style="44" customWidth="1"/>
    <col min="3845" max="3847" width="10.125" style="44" customWidth="1"/>
    <col min="3848" max="3849" width="10.125" style="44" hidden="1" customWidth="1"/>
    <col min="3850" max="3852" width="10.125" style="44" customWidth="1"/>
    <col min="3853" max="3854" width="10.125" style="44" hidden="1" customWidth="1"/>
    <col min="3855" max="3856" width="10.125" style="44" customWidth="1"/>
    <col min="3857" max="3857" width="10.125" style="44" hidden="1" customWidth="1"/>
    <col min="3858" max="3858" width="22.625" style="44" customWidth="1"/>
    <col min="3859" max="4096" width="9" style="44"/>
    <col min="4097" max="4097" width="5.5" style="44" customWidth="1"/>
    <col min="4098" max="4098" width="22.875" style="44" customWidth="1"/>
    <col min="4099" max="4099" width="21.5" style="44" customWidth="1"/>
    <col min="4100" max="4100" width="5.25833333333333" style="44" customWidth="1"/>
    <col min="4101" max="4103" width="10.125" style="44" customWidth="1"/>
    <col min="4104" max="4105" width="10.125" style="44" hidden="1" customWidth="1"/>
    <col min="4106" max="4108" width="10.125" style="44" customWidth="1"/>
    <col min="4109" max="4110" width="10.125" style="44" hidden="1" customWidth="1"/>
    <col min="4111" max="4112" width="10.125" style="44" customWidth="1"/>
    <col min="4113" max="4113" width="10.125" style="44" hidden="1" customWidth="1"/>
    <col min="4114" max="4114" width="22.625" style="44" customWidth="1"/>
    <col min="4115" max="4352" width="9" style="44"/>
    <col min="4353" max="4353" width="5.5" style="44" customWidth="1"/>
    <col min="4354" max="4354" width="22.875" style="44" customWidth="1"/>
    <col min="4355" max="4355" width="21.5" style="44" customWidth="1"/>
    <col min="4356" max="4356" width="5.25833333333333" style="44" customWidth="1"/>
    <col min="4357" max="4359" width="10.125" style="44" customWidth="1"/>
    <col min="4360" max="4361" width="10.125" style="44" hidden="1" customWidth="1"/>
    <col min="4362" max="4364" width="10.125" style="44" customWidth="1"/>
    <col min="4365" max="4366" width="10.125" style="44" hidden="1" customWidth="1"/>
    <col min="4367" max="4368" width="10.125" style="44" customWidth="1"/>
    <col min="4369" max="4369" width="10.125" style="44" hidden="1" customWidth="1"/>
    <col min="4370" max="4370" width="22.625" style="44" customWidth="1"/>
    <col min="4371" max="4608" width="9" style="44"/>
    <col min="4609" max="4609" width="5.5" style="44" customWidth="1"/>
    <col min="4610" max="4610" width="22.875" style="44" customWidth="1"/>
    <col min="4611" max="4611" width="21.5" style="44" customWidth="1"/>
    <col min="4612" max="4612" width="5.25833333333333" style="44" customWidth="1"/>
    <col min="4613" max="4615" width="10.125" style="44" customWidth="1"/>
    <col min="4616" max="4617" width="10.125" style="44" hidden="1" customWidth="1"/>
    <col min="4618" max="4620" width="10.125" style="44" customWidth="1"/>
    <col min="4621" max="4622" width="10.125" style="44" hidden="1" customWidth="1"/>
    <col min="4623" max="4624" width="10.125" style="44" customWidth="1"/>
    <col min="4625" max="4625" width="10.125" style="44" hidden="1" customWidth="1"/>
    <col min="4626" max="4626" width="22.625" style="44" customWidth="1"/>
    <col min="4627" max="4864" width="9" style="44"/>
    <col min="4865" max="4865" width="5.5" style="44" customWidth="1"/>
    <col min="4866" max="4866" width="22.875" style="44" customWidth="1"/>
    <col min="4867" max="4867" width="21.5" style="44" customWidth="1"/>
    <col min="4868" max="4868" width="5.25833333333333" style="44" customWidth="1"/>
    <col min="4869" max="4871" width="10.125" style="44" customWidth="1"/>
    <col min="4872" max="4873" width="10.125" style="44" hidden="1" customWidth="1"/>
    <col min="4874" max="4876" width="10.125" style="44" customWidth="1"/>
    <col min="4877" max="4878" width="10.125" style="44" hidden="1" customWidth="1"/>
    <col min="4879" max="4880" width="10.125" style="44" customWidth="1"/>
    <col min="4881" max="4881" width="10.125" style="44" hidden="1" customWidth="1"/>
    <col min="4882" max="4882" width="22.625" style="44" customWidth="1"/>
    <col min="4883" max="5120" width="9" style="44"/>
    <col min="5121" max="5121" width="5.5" style="44" customWidth="1"/>
    <col min="5122" max="5122" width="22.875" style="44" customWidth="1"/>
    <col min="5123" max="5123" width="21.5" style="44" customWidth="1"/>
    <col min="5124" max="5124" width="5.25833333333333" style="44" customWidth="1"/>
    <col min="5125" max="5127" width="10.125" style="44" customWidth="1"/>
    <col min="5128" max="5129" width="10.125" style="44" hidden="1" customWidth="1"/>
    <col min="5130" max="5132" width="10.125" style="44" customWidth="1"/>
    <col min="5133" max="5134" width="10.125" style="44" hidden="1" customWidth="1"/>
    <col min="5135" max="5136" width="10.125" style="44" customWidth="1"/>
    <col min="5137" max="5137" width="10.125" style="44" hidden="1" customWidth="1"/>
    <col min="5138" max="5138" width="22.625" style="44" customWidth="1"/>
    <col min="5139" max="5376" width="9" style="44"/>
    <col min="5377" max="5377" width="5.5" style="44" customWidth="1"/>
    <col min="5378" max="5378" width="22.875" style="44" customWidth="1"/>
    <col min="5379" max="5379" width="21.5" style="44" customWidth="1"/>
    <col min="5380" max="5380" width="5.25833333333333" style="44" customWidth="1"/>
    <col min="5381" max="5383" width="10.125" style="44" customWidth="1"/>
    <col min="5384" max="5385" width="10.125" style="44" hidden="1" customWidth="1"/>
    <col min="5386" max="5388" width="10.125" style="44" customWidth="1"/>
    <col min="5389" max="5390" width="10.125" style="44" hidden="1" customWidth="1"/>
    <col min="5391" max="5392" width="10.125" style="44" customWidth="1"/>
    <col min="5393" max="5393" width="10.125" style="44" hidden="1" customWidth="1"/>
    <col min="5394" max="5394" width="22.625" style="44" customWidth="1"/>
    <col min="5395" max="5632" width="9" style="44"/>
    <col min="5633" max="5633" width="5.5" style="44" customWidth="1"/>
    <col min="5634" max="5634" width="22.875" style="44" customWidth="1"/>
    <col min="5635" max="5635" width="21.5" style="44" customWidth="1"/>
    <col min="5636" max="5636" width="5.25833333333333" style="44" customWidth="1"/>
    <col min="5637" max="5639" width="10.125" style="44" customWidth="1"/>
    <col min="5640" max="5641" width="10.125" style="44" hidden="1" customWidth="1"/>
    <col min="5642" max="5644" width="10.125" style="44" customWidth="1"/>
    <col min="5645" max="5646" width="10.125" style="44" hidden="1" customWidth="1"/>
    <col min="5647" max="5648" width="10.125" style="44" customWidth="1"/>
    <col min="5649" max="5649" width="10.125" style="44" hidden="1" customWidth="1"/>
    <col min="5650" max="5650" width="22.625" style="44" customWidth="1"/>
    <col min="5651" max="5888" width="9" style="44"/>
    <col min="5889" max="5889" width="5.5" style="44" customWidth="1"/>
    <col min="5890" max="5890" width="22.875" style="44" customWidth="1"/>
    <col min="5891" max="5891" width="21.5" style="44" customWidth="1"/>
    <col min="5892" max="5892" width="5.25833333333333" style="44" customWidth="1"/>
    <col min="5893" max="5895" width="10.125" style="44" customWidth="1"/>
    <col min="5896" max="5897" width="10.125" style="44" hidden="1" customWidth="1"/>
    <col min="5898" max="5900" width="10.125" style="44" customWidth="1"/>
    <col min="5901" max="5902" width="10.125" style="44" hidden="1" customWidth="1"/>
    <col min="5903" max="5904" width="10.125" style="44" customWidth="1"/>
    <col min="5905" max="5905" width="10.125" style="44" hidden="1" customWidth="1"/>
    <col min="5906" max="5906" width="22.625" style="44" customWidth="1"/>
    <col min="5907" max="6144" width="9" style="44"/>
    <col min="6145" max="6145" width="5.5" style="44" customWidth="1"/>
    <col min="6146" max="6146" width="22.875" style="44" customWidth="1"/>
    <col min="6147" max="6147" width="21.5" style="44" customWidth="1"/>
    <col min="6148" max="6148" width="5.25833333333333" style="44" customWidth="1"/>
    <col min="6149" max="6151" width="10.125" style="44" customWidth="1"/>
    <col min="6152" max="6153" width="10.125" style="44" hidden="1" customWidth="1"/>
    <col min="6154" max="6156" width="10.125" style="44" customWidth="1"/>
    <col min="6157" max="6158" width="10.125" style="44" hidden="1" customWidth="1"/>
    <col min="6159" max="6160" width="10.125" style="44" customWidth="1"/>
    <col min="6161" max="6161" width="10.125" style="44" hidden="1" customWidth="1"/>
    <col min="6162" max="6162" width="22.625" style="44" customWidth="1"/>
    <col min="6163" max="6400" width="9" style="44"/>
    <col min="6401" max="6401" width="5.5" style="44" customWidth="1"/>
    <col min="6402" max="6402" width="22.875" style="44" customWidth="1"/>
    <col min="6403" max="6403" width="21.5" style="44" customWidth="1"/>
    <col min="6404" max="6404" width="5.25833333333333" style="44" customWidth="1"/>
    <col min="6405" max="6407" width="10.125" style="44" customWidth="1"/>
    <col min="6408" max="6409" width="10.125" style="44" hidden="1" customWidth="1"/>
    <col min="6410" max="6412" width="10.125" style="44" customWidth="1"/>
    <col min="6413" max="6414" width="10.125" style="44" hidden="1" customWidth="1"/>
    <col min="6415" max="6416" width="10.125" style="44" customWidth="1"/>
    <col min="6417" max="6417" width="10.125" style="44" hidden="1" customWidth="1"/>
    <col min="6418" max="6418" width="22.625" style="44" customWidth="1"/>
    <col min="6419" max="6656" width="9" style="44"/>
    <col min="6657" max="6657" width="5.5" style="44" customWidth="1"/>
    <col min="6658" max="6658" width="22.875" style="44" customWidth="1"/>
    <col min="6659" max="6659" width="21.5" style="44" customWidth="1"/>
    <col min="6660" max="6660" width="5.25833333333333" style="44" customWidth="1"/>
    <col min="6661" max="6663" width="10.125" style="44" customWidth="1"/>
    <col min="6664" max="6665" width="10.125" style="44" hidden="1" customWidth="1"/>
    <col min="6666" max="6668" width="10.125" style="44" customWidth="1"/>
    <col min="6669" max="6670" width="10.125" style="44" hidden="1" customWidth="1"/>
    <col min="6671" max="6672" width="10.125" style="44" customWidth="1"/>
    <col min="6673" max="6673" width="10.125" style="44" hidden="1" customWidth="1"/>
    <col min="6674" max="6674" width="22.625" style="44" customWidth="1"/>
    <col min="6675" max="6912" width="9" style="44"/>
    <col min="6913" max="6913" width="5.5" style="44" customWidth="1"/>
    <col min="6914" max="6914" width="22.875" style="44" customWidth="1"/>
    <col min="6915" max="6915" width="21.5" style="44" customWidth="1"/>
    <col min="6916" max="6916" width="5.25833333333333" style="44" customWidth="1"/>
    <col min="6917" max="6919" width="10.125" style="44" customWidth="1"/>
    <col min="6920" max="6921" width="10.125" style="44" hidden="1" customWidth="1"/>
    <col min="6922" max="6924" width="10.125" style="44" customWidth="1"/>
    <col min="6925" max="6926" width="10.125" style="44" hidden="1" customWidth="1"/>
    <col min="6927" max="6928" width="10.125" style="44" customWidth="1"/>
    <col min="6929" max="6929" width="10.125" style="44" hidden="1" customWidth="1"/>
    <col min="6930" max="6930" width="22.625" style="44" customWidth="1"/>
    <col min="6931" max="7168" width="9" style="44"/>
    <col min="7169" max="7169" width="5.5" style="44" customWidth="1"/>
    <col min="7170" max="7170" width="22.875" style="44" customWidth="1"/>
    <col min="7171" max="7171" width="21.5" style="44" customWidth="1"/>
    <col min="7172" max="7172" width="5.25833333333333" style="44" customWidth="1"/>
    <col min="7173" max="7175" width="10.125" style="44" customWidth="1"/>
    <col min="7176" max="7177" width="10.125" style="44" hidden="1" customWidth="1"/>
    <col min="7178" max="7180" width="10.125" style="44" customWidth="1"/>
    <col min="7181" max="7182" width="10.125" style="44" hidden="1" customWidth="1"/>
    <col min="7183" max="7184" width="10.125" style="44" customWidth="1"/>
    <col min="7185" max="7185" width="10.125" style="44" hidden="1" customWidth="1"/>
    <col min="7186" max="7186" width="22.625" style="44" customWidth="1"/>
    <col min="7187" max="7424" width="9" style="44"/>
    <col min="7425" max="7425" width="5.5" style="44" customWidth="1"/>
    <col min="7426" max="7426" width="22.875" style="44" customWidth="1"/>
    <col min="7427" max="7427" width="21.5" style="44" customWidth="1"/>
    <col min="7428" max="7428" width="5.25833333333333" style="44" customWidth="1"/>
    <col min="7429" max="7431" width="10.125" style="44" customWidth="1"/>
    <col min="7432" max="7433" width="10.125" style="44" hidden="1" customWidth="1"/>
    <col min="7434" max="7436" width="10.125" style="44" customWidth="1"/>
    <col min="7437" max="7438" width="10.125" style="44" hidden="1" customWidth="1"/>
    <col min="7439" max="7440" width="10.125" style="44" customWidth="1"/>
    <col min="7441" max="7441" width="10.125" style="44" hidden="1" customWidth="1"/>
    <col min="7442" max="7442" width="22.625" style="44" customWidth="1"/>
    <col min="7443" max="7680" width="9" style="44"/>
    <col min="7681" max="7681" width="5.5" style="44" customWidth="1"/>
    <col min="7682" max="7682" width="22.875" style="44" customWidth="1"/>
    <col min="7683" max="7683" width="21.5" style="44" customWidth="1"/>
    <col min="7684" max="7684" width="5.25833333333333" style="44" customWidth="1"/>
    <col min="7685" max="7687" width="10.125" style="44" customWidth="1"/>
    <col min="7688" max="7689" width="10.125" style="44" hidden="1" customWidth="1"/>
    <col min="7690" max="7692" width="10.125" style="44" customWidth="1"/>
    <col min="7693" max="7694" width="10.125" style="44" hidden="1" customWidth="1"/>
    <col min="7695" max="7696" width="10.125" style="44" customWidth="1"/>
    <col min="7697" max="7697" width="10.125" style="44" hidden="1" customWidth="1"/>
    <col min="7698" max="7698" width="22.625" style="44" customWidth="1"/>
    <col min="7699" max="7936" width="9" style="44"/>
    <col min="7937" max="7937" width="5.5" style="44" customWidth="1"/>
    <col min="7938" max="7938" width="22.875" style="44" customWidth="1"/>
    <col min="7939" max="7939" width="21.5" style="44" customWidth="1"/>
    <col min="7940" max="7940" width="5.25833333333333" style="44" customWidth="1"/>
    <col min="7941" max="7943" width="10.125" style="44" customWidth="1"/>
    <col min="7944" max="7945" width="10.125" style="44" hidden="1" customWidth="1"/>
    <col min="7946" max="7948" width="10.125" style="44" customWidth="1"/>
    <col min="7949" max="7950" width="10.125" style="44" hidden="1" customWidth="1"/>
    <col min="7951" max="7952" width="10.125" style="44" customWidth="1"/>
    <col min="7953" max="7953" width="10.125" style="44" hidden="1" customWidth="1"/>
    <col min="7954" max="7954" width="22.625" style="44" customWidth="1"/>
    <col min="7955" max="8192" width="9" style="44"/>
    <col min="8193" max="8193" width="5.5" style="44" customWidth="1"/>
    <col min="8194" max="8194" width="22.875" style="44" customWidth="1"/>
    <col min="8195" max="8195" width="21.5" style="44" customWidth="1"/>
    <col min="8196" max="8196" width="5.25833333333333" style="44" customWidth="1"/>
    <col min="8197" max="8199" width="10.125" style="44" customWidth="1"/>
    <col min="8200" max="8201" width="10.125" style="44" hidden="1" customWidth="1"/>
    <col min="8202" max="8204" width="10.125" style="44" customWidth="1"/>
    <col min="8205" max="8206" width="10.125" style="44" hidden="1" customWidth="1"/>
    <col min="8207" max="8208" width="10.125" style="44" customWidth="1"/>
    <col min="8209" max="8209" width="10.125" style="44" hidden="1" customWidth="1"/>
    <col min="8210" max="8210" width="22.625" style="44" customWidth="1"/>
    <col min="8211" max="8448" width="9" style="44"/>
    <col min="8449" max="8449" width="5.5" style="44" customWidth="1"/>
    <col min="8450" max="8450" width="22.875" style="44" customWidth="1"/>
    <col min="8451" max="8451" width="21.5" style="44" customWidth="1"/>
    <col min="8452" max="8452" width="5.25833333333333" style="44" customWidth="1"/>
    <col min="8453" max="8455" width="10.125" style="44" customWidth="1"/>
    <col min="8456" max="8457" width="10.125" style="44" hidden="1" customWidth="1"/>
    <col min="8458" max="8460" width="10.125" style="44" customWidth="1"/>
    <col min="8461" max="8462" width="10.125" style="44" hidden="1" customWidth="1"/>
    <col min="8463" max="8464" width="10.125" style="44" customWidth="1"/>
    <col min="8465" max="8465" width="10.125" style="44" hidden="1" customWidth="1"/>
    <col min="8466" max="8466" width="22.625" style="44" customWidth="1"/>
    <col min="8467" max="8704" width="9" style="44"/>
    <col min="8705" max="8705" width="5.5" style="44" customWidth="1"/>
    <col min="8706" max="8706" width="22.875" style="44" customWidth="1"/>
    <col min="8707" max="8707" width="21.5" style="44" customWidth="1"/>
    <col min="8708" max="8708" width="5.25833333333333" style="44" customWidth="1"/>
    <col min="8709" max="8711" width="10.125" style="44" customWidth="1"/>
    <col min="8712" max="8713" width="10.125" style="44" hidden="1" customWidth="1"/>
    <col min="8714" max="8716" width="10.125" style="44" customWidth="1"/>
    <col min="8717" max="8718" width="10.125" style="44" hidden="1" customWidth="1"/>
    <col min="8719" max="8720" width="10.125" style="44" customWidth="1"/>
    <col min="8721" max="8721" width="10.125" style="44" hidden="1" customWidth="1"/>
    <col min="8722" max="8722" width="22.625" style="44" customWidth="1"/>
    <col min="8723" max="8960" width="9" style="44"/>
    <col min="8961" max="8961" width="5.5" style="44" customWidth="1"/>
    <col min="8962" max="8962" width="22.875" style="44" customWidth="1"/>
    <col min="8963" max="8963" width="21.5" style="44" customWidth="1"/>
    <col min="8964" max="8964" width="5.25833333333333" style="44" customWidth="1"/>
    <col min="8965" max="8967" width="10.125" style="44" customWidth="1"/>
    <col min="8968" max="8969" width="10.125" style="44" hidden="1" customWidth="1"/>
    <col min="8970" max="8972" width="10.125" style="44" customWidth="1"/>
    <col min="8973" max="8974" width="10.125" style="44" hidden="1" customWidth="1"/>
    <col min="8975" max="8976" width="10.125" style="44" customWidth="1"/>
    <col min="8977" max="8977" width="10.125" style="44" hidden="1" customWidth="1"/>
    <col min="8978" max="8978" width="22.625" style="44" customWidth="1"/>
    <col min="8979" max="9216" width="9" style="44"/>
    <col min="9217" max="9217" width="5.5" style="44" customWidth="1"/>
    <col min="9218" max="9218" width="22.875" style="44" customWidth="1"/>
    <col min="9219" max="9219" width="21.5" style="44" customWidth="1"/>
    <col min="9220" max="9220" width="5.25833333333333" style="44" customWidth="1"/>
    <col min="9221" max="9223" width="10.125" style="44" customWidth="1"/>
    <col min="9224" max="9225" width="10.125" style="44" hidden="1" customWidth="1"/>
    <col min="9226" max="9228" width="10.125" style="44" customWidth="1"/>
    <col min="9229" max="9230" width="10.125" style="44" hidden="1" customWidth="1"/>
    <col min="9231" max="9232" width="10.125" style="44" customWidth="1"/>
    <col min="9233" max="9233" width="10.125" style="44" hidden="1" customWidth="1"/>
    <col min="9234" max="9234" width="22.625" style="44" customWidth="1"/>
    <col min="9235" max="9472" width="9" style="44"/>
    <col min="9473" max="9473" width="5.5" style="44" customWidth="1"/>
    <col min="9474" max="9474" width="22.875" style="44" customWidth="1"/>
    <col min="9475" max="9475" width="21.5" style="44" customWidth="1"/>
    <col min="9476" max="9476" width="5.25833333333333" style="44" customWidth="1"/>
    <col min="9477" max="9479" width="10.125" style="44" customWidth="1"/>
    <col min="9480" max="9481" width="10.125" style="44" hidden="1" customWidth="1"/>
    <col min="9482" max="9484" width="10.125" style="44" customWidth="1"/>
    <col min="9485" max="9486" width="10.125" style="44" hidden="1" customWidth="1"/>
    <col min="9487" max="9488" width="10.125" style="44" customWidth="1"/>
    <col min="9489" max="9489" width="10.125" style="44" hidden="1" customWidth="1"/>
    <col min="9490" max="9490" width="22.625" style="44" customWidth="1"/>
    <col min="9491" max="9728" width="9" style="44"/>
    <col min="9729" max="9729" width="5.5" style="44" customWidth="1"/>
    <col min="9730" max="9730" width="22.875" style="44" customWidth="1"/>
    <col min="9731" max="9731" width="21.5" style="44" customWidth="1"/>
    <col min="9732" max="9732" width="5.25833333333333" style="44" customWidth="1"/>
    <col min="9733" max="9735" width="10.125" style="44" customWidth="1"/>
    <col min="9736" max="9737" width="10.125" style="44" hidden="1" customWidth="1"/>
    <col min="9738" max="9740" width="10.125" style="44" customWidth="1"/>
    <col min="9741" max="9742" width="10.125" style="44" hidden="1" customWidth="1"/>
    <col min="9743" max="9744" width="10.125" style="44" customWidth="1"/>
    <col min="9745" max="9745" width="10.125" style="44" hidden="1" customWidth="1"/>
    <col min="9746" max="9746" width="22.625" style="44" customWidth="1"/>
    <col min="9747" max="9984" width="9" style="44"/>
    <col min="9985" max="9985" width="5.5" style="44" customWidth="1"/>
    <col min="9986" max="9986" width="22.875" style="44" customWidth="1"/>
    <col min="9987" max="9987" width="21.5" style="44" customWidth="1"/>
    <col min="9988" max="9988" width="5.25833333333333" style="44" customWidth="1"/>
    <col min="9989" max="9991" width="10.125" style="44" customWidth="1"/>
    <col min="9992" max="9993" width="10.125" style="44" hidden="1" customWidth="1"/>
    <col min="9994" max="9996" width="10.125" style="44" customWidth="1"/>
    <col min="9997" max="9998" width="10.125" style="44" hidden="1" customWidth="1"/>
    <col min="9999" max="10000" width="10.125" style="44" customWidth="1"/>
    <col min="10001" max="10001" width="10.125" style="44" hidden="1" customWidth="1"/>
    <col min="10002" max="10002" width="22.625" style="44" customWidth="1"/>
    <col min="10003" max="10240" width="9" style="44"/>
    <col min="10241" max="10241" width="5.5" style="44" customWidth="1"/>
    <col min="10242" max="10242" width="22.875" style="44" customWidth="1"/>
    <col min="10243" max="10243" width="21.5" style="44" customWidth="1"/>
    <col min="10244" max="10244" width="5.25833333333333" style="44" customWidth="1"/>
    <col min="10245" max="10247" width="10.125" style="44" customWidth="1"/>
    <col min="10248" max="10249" width="10.125" style="44" hidden="1" customWidth="1"/>
    <col min="10250" max="10252" width="10.125" style="44" customWidth="1"/>
    <col min="10253" max="10254" width="10.125" style="44" hidden="1" customWidth="1"/>
    <col min="10255" max="10256" width="10.125" style="44" customWidth="1"/>
    <col min="10257" max="10257" width="10.125" style="44" hidden="1" customWidth="1"/>
    <col min="10258" max="10258" width="22.625" style="44" customWidth="1"/>
    <col min="10259" max="10496" width="9" style="44"/>
    <col min="10497" max="10497" width="5.5" style="44" customWidth="1"/>
    <col min="10498" max="10498" width="22.875" style="44" customWidth="1"/>
    <col min="10499" max="10499" width="21.5" style="44" customWidth="1"/>
    <col min="10500" max="10500" width="5.25833333333333" style="44" customWidth="1"/>
    <col min="10501" max="10503" width="10.125" style="44" customWidth="1"/>
    <col min="10504" max="10505" width="10.125" style="44" hidden="1" customWidth="1"/>
    <col min="10506" max="10508" width="10.125" style="44" customWidth="1"/>
    <col min="10509" max="10510" width="10.125" style="44" hidden="1" customWidth="1"/>
    <col min="10511" max="10512" width="10.125" style="44" customWidth="1"/>
    <col min="10513" max="10513" width="10.125" style="44" hidden="1" customWidth="1"/>
    <col min="10514" max="10514" width="22.625" style="44" customWidth="1"/>
    <col min="10515" max="10752" width="9" style="44"/>
    <col min="10753" max="10753" width="5.5" style="44" customWidth="1"/>
    <col min="10754" max="10754" width="22.875" style="44" customWidth="1"/>
    <col min="10755" max="10755" width="21.5" style="44" customWidth="1"/>
    <col min="10756" max="10756" width="5.25833333333333" style="44" customWidth="1"/>
    <col min="10757" max="10759" width="10.125" style="44" customWidth="1"/>
    <col min="10760" max="10761" width="10.125" style="44" hidden="1" customWidth="1"/>
    <col min="10762" max="10764" width="10.125" style="44" customWidth="1"/>
    <col min="10765" max="10766" width="10.125" style="44" hidden="1" customWidth="1"/>
    <col min="10767" max="10768" width="10.125" style="44" customWidth="1"/>
    <col min="10769" max="10769" width="10.125" style="44" hidden="1" customWidth="1"/>
    <col min="10770" max="10770" width="22.625" style="44" customWidth="1"/>
    <col min="10771" max="11008" width="9" style="44"/>
    <col min="11009" max="11009" width="5.5" style="44" customWidth="1"/>
    <col min="11010" max="11010" width="22.875" style="44" customWidth="1"/>
    <col min="11011" max="11011" width="21.5" style="44" customWidth="1"/>
    <col min="11012" max="11012" width="5.25833333333333" style="44" customWidth="1"/>
    <col min="11013" max="11015" width="10.125" style="44" customWidth="1"/>
    <col min="11016" max="11017" width="10.125" style="44" hidden="1" customWidth="1"/>
    <col min="11018" max="11020" width="10.125" style="44" customWidth="1"/>
    <col min="11021" max="11022" width="10.125" style="44" hidden="1" customWidth="1"/>
    <col min="11023" max="11024" width="10.125" style="44" customWidth="1"/>
    <col min="11025" max="11025" width="10.125" style="44" hidden="1" customWidth="1"/>
    <col min="11026" max="11026" width="22.625" style="44" customWidth="1"/>
    <col min="11027" max="11264" width="9" style="44"/>
    <col min="11265" max="11265" width="5.5" style="44" customWidth="1"/>
    <col min="11266" max="11266" width="22.875" style="44" customWidth="1"/>
    <col min="11267" max="11267" width="21.5" style="44" customWidth="1"/>
    <col min="11268" max="11268" width="5.25833333333333" style="44" customWidth="1"/>
    <col min="11269" max="11271" width="10.125" style="44" customWidth="1"/>
    <col min="11272" max="11273" width="10.125" style="44" hidden="1" customWidth="1"/>
    <col min="11274" max="11276" width="10.125" style="44" customWidth="1"/>
    <col min="11277" max="11278" width="10.125" style="44" hidden="1" customWidth="1"/>
    <col min="11279" max="11280" width="10.125" style="44" customWidth="1"/>
    <col min="11281" max="11281" width="10.125" style="44" hidden="1" customWidth="1"/>
    <col min="11282" max="11282" width="22.625" style="44" customWidth="1"/>
    <col min="11283" max="11520" width="9" style="44"/>
    <col min="11521" max="11521" width="5.5" style="44" customWidth="1"/>
    <col min="11522" max="11522" width="22.875" style="44" customWidth="1"/>
    <col min="11523" max="11523" width="21.5" style="44" customWidth="1"/>
    <col min="11524" max="11524" width="5.25833333333333" style="44" customWidth="1"/>
    <col min="11525" max="11527" width="10.125" style="44" customWidth="1"/>
    <col min="11528" max="11529" width="10.125" style="44" hidden="1" customWidth="1"/>
    <col min="11530" max="11532" width="10.125" style="44" customWidth="1"/>
    <col min="11533" max="11534" width="10.125" style="44" hidden="1" customWidth="1"/>
    <col min="11535" max="11536" width="10.125" style="44" customWidth="1"/>
    <col min="11537" max="11537" width="10.125" style="44" hidden="1" customWidth="1"/>
    <col min="11538" max="11538" width="22.625" style="44" customWidth="1"/>
    <col min="11539" max="11776" width="9" style="44"/>
    <col min="11777" max="11777" width="5.5" style="44" customWidth="1"/>
    <col min="11778" max="11778" width="22.875" style="44" customWidth="1"/>
    <col min="11779" max="11779" width="21.5" style="44" customWidth="1"/>
    <col min="11780" max="11780" width="5.25833333333333" style="44" customWidth="1"/>
    <col min="11781" max="11783" width="10.125" style="44" customWidth="1"/>
    <col min="11784" max="11785" width="10.125" style="44" hidden="1" customWidth="1"/>
    <col min="11786" max="11788" width="10.125" style="44" customWidth="1"/>
    <col min="11789" max="11790" width="10.125" style="44" hidden="1" customWidth="1"/>
    <col min="11791" max="11792" width="10.125" style="44" customWidth="1"/>
    <col min="11793" max="11793" width="10.125" style="44" hidden="1" customWidth="1"/>
    <col min="11794" max="11794" width="22.625" style="44" customWidth="1"/>
    <col min="11795" max="12032" width="9" style="44"/>
    <col min="12033" max="12033" width="5.5" style="44" customWidth="1"/>
    <col min="12034" max="12034" width="22.875" style="44" customWidth="1"/>
    <col min="12035" max="12035" width="21.5" style="44" customWidth="1"/>
    <col min="12036" max="12036" width="5.25833333333333" style="44" customWidth="1"/>
    <col min="12037" max="12039" width="10.125" style="44" customWidth="1"/>
    <col min="12040" max="12041" width="10.125" style="44" hidden="1" customWidth="1"/>
    <col min="12042" max="12044" width="10.125" style="44" customWidth="1"/>
    <col min="12045" max="12046" width="10.125" style="44" hidden="1" customWidth="1"/>
    <col min="12047" max="12048" width="10.125" style="44" customWidth="1"/>
    <col min="12049" max="12049" width="10.125" style="44" hidden="1" customWidth="1"/>
    <col min="12050" max="12050" width="22.625" style="44" customWidth="1"/>
    <col min="12051" max="12288" width="9" style="44"/>
    <col min="12289" max="12289" width="5.5" style="44" customWidth="1"/>
    <col min="12290" max="12290" width="22.875" style="44" customWidth="1"/>
    <col min="12291" max="12291" width="21.5" style="44" customWidth="1"/>
    <col min="12292" max="12292" width="5.25833333333333" style="44" customWidth="1"/>
    <col min="12293" max="12295" width="10.125" style="44" customWidth="1"/>
    <col min="12296" max="12297" width="10.125" style="44" hidden="1" customWidth="1"/>
    <col min="12298" max="12300" width="10.125" style="44" customWidth="1"/>
    <col min="12301" max="12302" width="10.125" style="44" hidden="1" customWidth="1"/>
    <col min="12303" max="12304" width="10.125" style="44" customWidth="1"/>
    <col min="12305" max="12305" width="10.125" style="44" hidden="1" customWidth="1"/>
    <col min="12306" max="12306" width="22.625" style="44" customWidth="1"/>
    <col min="12307" max="12544" width="9" style="44"/>
    <col min="12545" max="12545" width="5.5" style="44" customWidth="1"/>
    <col min="12546" max="12546" width="22.875" style="44" customWidth="1"/>
    <col min="12547" max="12547" width="21.5" style="44" customWidth="1"/>
    <col min="12548" max="12548" width="5.25833333333333" style="44" customWidth="1"/>
    <col min="12549" max="12551" width="10.125" style="44" customWidth="1"/>
    <col min="12552" max="12553" width="10.125" style="44" hidden="1" customWidth="1"/>
    <col min="12554" max="12556" width="10.125" style="44" customWidth="1"/>
    <col min="12557" max="12558" width="10.125" style="44" hidden="1" customWidth="1"/>
    <col min="12559" max="12560" width="10.125" style="44" customWidth="1"/>
    <col min="12561" max="12561" width="10.125" style="44" hidden="1" customWidth="1"/>
    <col min="12562" max="12562" width="22.625" style="44" customWidth="1"/>
    <col min="12563" max="12800" width="9" style="44"/>
    <col min="12801" max="12801" width="5.5" style="44" customWidth="1"/>
    <col min="12802" max="12802" width="22.875" style="44" customWidth="1"/>
    <col min="12803" max="12803" width="21.5" style="44" customWidth="1"/>
    <col min="12804" max="12804" width="5.25833333333333" style="44" customWidth="1"/>
    <col min="12805" max="12807" width="10.125" style="44" customWidth="1"/>
    <col min="12808" max="12809" width="10.125" style="44" hidden="1" customWidth="1"/>
    <col min="12810" max="12812" width="10.125" style="44" customWidth="1"/>
    <col min="12813" max="12814" width="10.125" style="44" hidden="1" customWidth="1"/>
    <col min="12815" max="12816" width="10.125" style="44" customWidth="1"/>
    <col min="12817" max="12817" width="10.125" style="44" hidden="1" customWidth="1"/>
    <col min="12818" max="12818" width="22.625" style="44" customWidth="1"/>
    <col min="12819" max="13056" width="9" style="44"/>
    <col min="13057" max="13057" width="5.5" style="44" customWidth="1"/>
    <col min="13058" max="13058" width="22.875" style="44" customWidth="1"/>
    <col min="13059" max="13059" width="21.5" style="44" customWidth="1"/>
    <col min="13060" max="13060" width="5.25833333333333" style="44" customWidth="1"/>
    <col min="13061" max="13063" width="10.125" style="44" customWidth="1"/>
    <col min="13064" max="13065" width="10.125" style="44" hidden="1" customWidth="1"/>
    <col min="13066" max="13068" width="10.125" style="44" customWidth="1"/>
    <col min="13069" max="13070" width="10.125" style="44" hidden="1" customWidth="1"/>
    <col min="13071" max="13072" width="10.125" style="44" customWidth="1"/>
    <col min="13073" max="13073" width="10.125" style="44" hidden="1" customWidth="1"/>
    <col min="13074" max="13074" width="22.625" style="44" customWidth="1"/>
    <col min="13075" max="13312" width="9" style="44"/>
    <col min="13313" max="13313" width="5.5" style="44" customWidth="1"/>
    <col min="13314" max="13314" width="22.875" style="44" customWidth="1"/>
    <col min="13315" max="13315" width="21.5" style="44" customWidth="1"/>
    <col min="13316" max="13316" width="5.25833333333333" style="44" customWidth="1"/>
    <col min="13317" max="13319" width="10.125" style="44" customWidth="1"/>
    <col min="13320" max="13321" width="10.125" style="44" hidden="1" customWidth="1"/>
    <col min="13322" max="13324" width="10.125" style="44" customWidth="1"/>
    <col min="13325" max="13326" width="10.125" style="44" hidden="1" customWidth="1"/>
    <col min="13327" max="13328" width="10.125" style="44" customWidth="1"/>
    <col min="13329" max="13329" width="10.125" style="44" hidden="1" customWidth="1"/>
    <col min="13330" max="13330" width="22.625" style="44" customWidth="1"/>
    <col min="13331" max="13568" width="9" style="44"/>
    <col min="13569" max="13569" width="5.5" style="44" customWidth="1"/>
    <col min="13570" max="13570" width="22.875" style="44" customWidth="1"/>
    <col min="13571" max="13571" width="21.5" style="44" customWidth="1"/>
    <col min="13572" max="13572" width="5.25833333333333" style="44" customWidth="1"/>
    <col min="13573" max="13575" width="10.125" style="44" customWidth="1"/>
    <col min="13576" max="13577" width="10.125" style="44" hidden="1" customWidth="1"/>
    <col min="13578" max="13580" width="10.125" style="44" customWidth="1"/>
    <col min="13581" max="13582" width="10.125" style="44" hidden="1" customWidth="1"/>
    <col min="13583" max="13584" width="10.125" style="44" customWidth="1"/>
    <col min="13585" max="13585" width="10.125" style="44" hidden="1" customWidth="1"/>
    <col min="13586" max="13586" width="22.625" style="44" customWidth="1"/>
    <col min="13587" max="13824" width="9" style="44"/>
    <col min="13825" max="13825" width="5.5" style="44" customWidth="1"/>
    <col min="13826" max="13826" width="22.875" style="44" customWidth="1"/>
    <col min="13827" max="13827" width="21.5" style="44" customWidth="1"/>
    <col min="13828" max="13828" width="5.25833333333333" style="44" customWidth="1"/>
    <col min="13829" max="13831" width="10.125" style="44" customWidth="1"/>
    <col min="13832" max="13833" width="10.125" style="44" hidden="1" customWidth="1"/>
    <col min="13834" max="13836" width="10.125" style="44" customWidth="1"/>
    <col min="13837" max="13838" width="10.125" style="44" hidden="1" customWidth="1"/>
    <col min="13839" max="13840" width="10.125" style="44" customWidth="1"/>
    <col min="13841" max="13841" width="10.125" style="44" hidden="1" customWidth="1"/>
    <col min="13842" max="13842" width="22.625" style="44" customWidth="1"/>
    <col min="13843" max="14080" width="9" style="44"/>
    <col min="14081" max="14081" width="5.5" style="44" customWidth="1"/>
    <col min="14082" max="14082" width="22.875" style="44" customWidth="1"/>
    <col min="14083" max="14083" width="21.5" style="44" customWidth="1"/>
    <col min="14084" max="14084" width="5.25833333333333" style="44" customWidth="1"/>
    <col min="14085" max="14087" width="10.125" style="44" customWidth="1"/>
    <col min="14088" max="14089" width="10.125" style="44" hidden="1" customWidth="1"/>
    <col min="14090" max="14092" width="10.125" style="44" customWidth="1"/>
    <col min="14093" max="14094" width="10.125" style="44" hidden="1" customWidth="1"/>
    <col min="14095" max="14096" width="10.125" style="44" customWidth="1"/>
    <col min="14097" max="14097" width="10.125" style="44" hidden="1" customWidth="1"/>
    <col min="14098" max="14098" width="22.625" style="44" customWidth="1"/>
    <col min="14099" max="14336" width="9" style="44"/>
    <col min="14337" max="14337" width="5.5" style="44" customWidth="1"/>
    <col min="14338" max="14338" width="22.875" style="44" customWidth="1"/>
    <col min="14339" max="14339" width="21.5" style="44" customWidth="1"/>
    <col min="14340" max="14340" width="5.25833333333333" style="44" customWidth="1"/>
    <col min="14341" max="14343" width="10.125" style="44" customWidth="1"/>
    <col min="14344" max="14345" width="10.125" style="44" hidden="1" customWidth="1"/>
    <col min="14346" max="14348" width="10.125" style="44" customWidth="1"/>
    <col min="14349" max="14350" width="10.125" style="44" hidden="1" customWidth="1"/>
    <col min="14351" max="14352" width="10.125" style="44" customWidth="1"/>
    <col min="14353" max="14353" width="10.125" style="44" hidden="1" customWidth="1"/>
    <col min="14354" max="14354" width="22.625" style="44" customWidth="1"/>
    <col min="14355" max="14592" width="9" style="44"/>
    <col min="14593" max="14593" width="5.5" style="44" customWidth="1"/>
    <col min="14594" max="14594" width="22.875" style="44" customWidth="1"/>
    <col min="14595" max="14595" width="21.5" style="44" customWidth="1"/>
    <col min="14596" max="14596" width="5.25833333333333" style="44" customWidth="1"/>
    <col min="14597" max="14599" width="10.125" style="44" customWidth="1"/>
    <col min="14600" max="14601" width="10.125" style="44" hidden="1" customWidth="1"/>
    <col min="14602" max="14604" width="10.125" style="44" customWidth="1"/>
    <col min="14605" max="14606" width="10.125" style="44" hidden="1" customWidth="1"/>
    <col min="14607" max="14608" width="10.125" style="44" customWidth="1"/>
    <col min="14609" max="14609" width="10.125" style="44" hidden="1" customWidth="1"/>
    <col min="14610" max="14610" width="22.625" style="44" customWidth="1"/>
    <col min="14611" max="14848" width="9" style="44"/>
    <col min="14849" max="14849" width="5.5" style="44" customWidth="1"/>
    <col min="14850" max="14850" width="22.875" style="44" customWidth="1"/>
    <col min="14851" max="14851" width="21.5" style="44" customWidth="1"/>
    <col min="14852" max="14852" width="5.25833333333333" style="44" customWidth="1"/>
    <col min="14853" max="14855" width="10.125" style="44" customWidth="1"/>
    <col min="14856" max="14857" width="10.125" style="44" hidden="1" customWidth="1"/>
    <col min="14858" max="14860" width="10.125" style="44" customWidth="1"/>
    <col min="14861" max="14862" width="10.125" style="44" hidden="1" customWidth="1"/>
    <col min="14863" max="14864" width="10.125" style="44" customWidth="1"/>
    <col min="14865" max="14865" width="10.125" style="44" hidden="1" customWidth="1"/>
    <col min="14866" max="14866" width="22.625" style="44" customWidth="1"/>
    <col min="14867" max="15104" width="9" style="44"/>
    <col min="15105" max="15105" width="5.5" style="44" customWidth="1"/>
    <col min="15106" max="15106" width="22.875" style="44" customWidth="1"/>
    <col min="15107" max="15107" width="21.5" style="44" customWidth="1"/>
    <col min="15108" max="15108" width="5.25833333333333" style="44" customWidth="1"/>
    <col min="15109" max="15111" width="10.125" style="44" customWidth="1"/>
    <col min="15112" max="15113" width="10.125" style="44" hidden="1" customWidth="1"/>
    <col min="15114" max="15116" width="10.125" style="44" customWidth="1"/>
    <col min="15117" max="15118" width="10.125" style="44" hidden="1" customWidth="1"/>
    <col min="15119" max="15120" width="10.125" style="44" customWidth="1"/>
    <col min="15121" max="15121" width="10.125" style="44" hidden="1" customWidth="1"/>
    <col min="15122" max="15122" width="22.625" style="44" customWidth="1"/>
    <col min="15123" max="15360" width="9" style="44"/>
    <col min="15361" max="15361" width="5.5" style="44" customWidth="1"/>
    <col min="15362" max="15362" width="22.875" style="44" customWidth="1"/>
    <col min="15363" max="15363" width="21.5" style="44" customWidth="1"/>
    <col min="15364" max="15364" width="5.25833333333333" style="44" customWidth="1"/>
    <col min="15365" max="15367" width="10.125" style="44" customWidth="1"/>
    <col min="15368" max="15369" width="10.125" style="44" hidden="1" customWidth="1"/>
    <col min="15370" max="15372" width="10.125" style="44" customWidth="1"/>
    <col min="15373" max="15374" width="10.125" style="44" hidden="1" customWidth="1"/>
    <col min="15375" max="15376" width="10.125" style="44" customWidth="1"/>
    <col min="15377" max="15377" width="10.125" style="44" hidden="1" customWidth="1"/>
    <col min="15378" max="15378" width="22.625" style="44" customWidth="1"/>
    <col min="15379" max="15616" width="9" style="44"/>
    <col min="15617" max="15617" width="5.5" style="44" customWidth="1"/>
    <col min="15618" max="15618" width="22.875" style="44" customWidth="1"/>
    <col min="15619" max="15619" width="21.5" style="44" customWidth="1"/>
    <col min="15620" max="15620" width="5.25833333333333" style="44" customWidth="1"/>
    <col min="15621" max="15623" width="10.125" style="44" customWidth="1"/>
    <col min="15624" max="15625" width="10.125" style="44" hidden="1" customWidth="1"/>
    <col min="15626" max="15628" width="10.125" style="44" customWidth="1"/>
    <col min="15629" max="15630" width="10.125" style="44" hidden="1" customWidth="1"/>
    <col min="15631" max="15632" width="10.125" style="44" customWidth="1"/>
    <col min="15633" max="15633" width="10.125" style="44" hidden="1" customWidth="1"/>
    <col min="15634" max="15634" width="22.625" style="44" customWidth="1"/>
    <col min="15635" max="15872" width="9" style="44"/>
    <col min="15873" max="15873" width="5.5" style="44" customWidth="1"/>
    <col min="15874" max="15874" width="22.875" style="44" customWidth="1"/>
    <col min="15875" max="15875" width="21.5" style="44" customWidth="1"/>
    <col min="15876" max="15876" width="5.25833333333333" style="44" customWidth="1"/>
    <col min="15877" max="15879" width="10.125" style="44" customWidth="1"/>
    <col min="15880" max="15881" width="10.125" style="44" hidden="1" customWidth="1"/>
    <col min="15882" max="15884" width="10.125" style="44" customWidth="1"/>
    <col min="15885" max="15886" width="10.125" style="44" hidden="1" customWidth="1"/>
    <col min="15887" max="15888" width="10.125" style="44" customWidth="1"/>
    <col min="15889" max="15889" width="10.125" style="44" hidden="1" customWidth="1"/>
    <col min="15890" max="15890" width="22.625" style="44" customWidth="1"/>
    <col min="15891" max="16128" width="9" style="44"/>
    <col min="16129" max="16129" width="5.5" style="44" customWidth="1"/>
    <col min="16130" max="16130" width="22.875" style="44" customWidth="1"/>
    <col min="16131" max="16131" width="21.5" style="44" customWidth="1"/>
    <col min="16132" max="16132" width="5.25833333333333" style="44" customWidth="1"/>
    <col min="16133" max="16135" width="10.125" style="44" customWidth="1"/>
    <col min="16136" max="16137" width="10.125" style="44" hidden="1" customWidth="1"/>
    <col min="16138" max="16140" width="10.125" style="44" customWidth="1"/>
    <col min="16141" max="16142" width="10.125" style="44" hidden="1" customWidth="1"/>
    <col min="16143" max="16144" width="10.125" style="44" customWidth="1"/>
    <col min="16145" max="16145" width="10.125" style="44" hidden="1" customWidth="1"/>
    <col min="16146" max="16146" width="22.625" style="44" customWidth="1"/>
    <col min="16147" max="16230" width="9" style="44"/>
    <col min="16231" max="16384" width="9" style="5"/>
  </cols>
  <sheetData>
    <row r="1" s="44" customFormat="1" ht="33" customHeight="1" spans="1:29">
      <c r="A1" s="46" t="s">
        <v>289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72"/>
      <c r="R1" s="72"/>
      <c r="S1" s="73"/>
      <c r="T1" s="73"/>
      <c r="U1" s="73"/>
      <c r="V1" s="45"/>
      <c r="W1" s="45"/>
      <c r="X1" s="45"/>
      <c r="Y1" s="45"/>
      <c r="Z1" s="45"/>
      <c r="AA1" s="45"/>
      <c r="AB1" s="45"/>
      <c r="AC1" s="45"/>
    </row>
    <row r="2" s="4" customFormat="1" ht="17" customHeight="1" spans="1:43">
      <c r="A2" s="7" t="s">
        <v>1</v>
      </c>
      <c r="B2" s="7"/>
      <c r="C2" s="7"/>
      <c r="D2" s="7"/>
      <c r="E2" s="7"/>
      <c r="F2" s="8"/>
      <c r="G2" s="9"/>
      <c r="H2" s="8"/>
      <c r="I2" s="8"/>
      <c r="J2" s="8"/>
      <c r="K2" s="8"/>
      <c r="L2" s="9"/>
      <c r="M2" s="8"/>
      <c r="N2" s="8"/>
      <c r="O2" s="31" t="s">
        <v>3</v>
      </c>
      <c r="P2" s="31"/>
      <c r="Q2" s="8"/>
      <c r="R2" s="9"/>
      <c r="S2" s="8"/>
      <c r="T2" s="8"/>
      <c r="U2" s="8"/>
      <c r="V2" s="9"/>
      <c r="W2" s="9"/>
      <c r="X2" s="38"/>
      <c r="Y2" s="39"/>
      <c r="Z2" s="39"/>
      <c r="AA2" s="9"/>
      <c r="AB2" s="40"/>
      <c r="AC2" s="39"/>
      <c r="AD2" s="39"/>
      <c r="AE2" s="41"/>
      <c r="AF2" s="42"/>
      <c r="AG2" s="42"/>
      <c r="AH2" s="42"/>
      <c r="AI2" s="42"/>
      <c r="AJ2" s="42"/>
      <c r="AK2" s="42"/>
      <c r="AL2" s="42"/>
      <c r="AM2" s="42"/>
      <c r="AN2" s="42"/>
      <c r="AO2" s="43"/>
      <c r="AP2" s="43"/>
      <c r="AQ2" s="43"/>
    </row>
    <row r="3" s="3" customFormat="1" ht="18" customHeight="1" spans="1:18">
      <c r="A3" s="47" t="s">
        <v>4</v>
      </c>
      <c r="B3" s="47" t="s">
        <v>361</v>
      </c>
      <c r="C3" s="47" t="s">
        <v>362</v>
      </c>
      <c r="D3" s="47" t="s">
        <v>118</v>
      </c>
      <c r="E3" s="48" t="s">
        <v>7</v>
      </c>
      <c r="F3" s="48"/>
      <c r="G3" s="49"/>
      <c r="H3" s="48"/>
      <c r="I3" s="48"/>
      <c r="J3" s="48" t="s">
        <v>8</v>
      </c>
      <c r="K3" s="48"/>
      <c r="L3" s="49"/>
      <c r="M3" s="48"/>
      <c r="N3" s="48"/>
      <c r="O3" s="67" t="s">
        <v>9</v>
      </c>
      <c r="P3" s="68" t="s">
        <v>10</v>
      </c>
      <c r="Q3" s="74" t="s">
        <v>196</v>
      </c>
      <c r="R3" s="74" t="s">
        <v>190</v>
      </c>
    </row>
    <row r="4" s="3" customFormat="1" ht="18" customHeight="1" spans="1:18">
      <c r="A4" s="47"/>
      <c r="B4" s="47"/>
      <c r="C4" s="47"/>
      <c r="D4" s="47"/>
      <c r="E4" s="47" t="s">
        <v>119</v>
      </c>
      <c r="F4" s="47" t="s">
        <v>283</v>
      </c>
      <c r="G4" s="50" t="s">
        <v>284</v>
      </c>
      <c r="H4" s="47" t="s">
        <v>20</v>
      </c>
      <c r="I4" s="47" t="s">
        <v>363</v>
      </c>
      <c r="J4" s="47" t="s">
        <v>119</v>
      </c>
      <c r="K4" s="47" t="s">
        <v>283</v>
      </c>
      <c r="L4" s="50" t="s">
        <v>284</v>
      </c>
      <c r="M4" s="47" t="s">
        <v>20</v>
      </c>
      <c r="N4" s="47" t="s">
        <v>363</v>
      </c>
      <c r="O4" s="69"/>
      <c r="P4" s="70"/>
      <c r="Q4" s="74"/>
      <c r="R4" s="74"/>
    </row>
    <row r="5" s="44" customFormat="1" ht="25" customHeight="1" spans="1:29">
      <c r="A5" s="51" t="s">
        <v>299</v>
      </c>
      <c r="B5" s="52" t="s">
        <v>300</v>
      </c>
      <c r="C5" s="52" t="s">
        <v>301</v>
      </c>
      <c r="D5" s="51" t="s">
        <v>302</v>
      </c>
      <c r="E5" s="53">
        <f>3343*2</f>
        <v>6686</v>
      </c>
      <c r="F5" s="54">
        <v>8.532216</v>
      </c>
      <c r="G5" s="55">
        <f t="shared" ref="G5:G26" si="0">E5*F5</f>
        <v>57046.396176</v>
      </c>
      <c r="H5" s="56">
        <f t="shared" ref="H5:H26" si="1">G5*0.09</f>
        <v>5134.17565584</v>
      </c>
      <c r="I5" s="56">
        <f t="shared" ref="I5:I26" si="2">G5+H5</f>
        <v>62180.57183184</v>
      </c>
      <c r="J5" s="53">
        <f>3343*2</f>
        <v>6686</v>
      </c>
      <c r="K5" s="54">
        <v>8.532216</v>
      </c>
      <c r="L5" s="55">
        <f t="shared" ref="L5:L26" si="3">J5*K5</f>
        <v>57046.396176</v>
      </c>
      <c r="M5" s="56">
        <f t="shared" ref="M5:M26" si="4">L5*0.09</f>
        <v>5134.17565584</v>
      </c>
      <c r="N5" s="56">
        <f t="shared" ref="N5:N26" si="5">L5+M5</f>
        <v>62180.57183184</v>
      </c>
      <c r="O5" s="56"/>
      <c r="P5" s="55">
        <f>G5-L5</f>
        <v>0</v>
      </c>
      <c r="Q5" s="75"/>
      <c r="R5" s="76"/>
      <c r="S5" s="73"/>
      <c r="T5" s="73"/>
      <c r="U5" s="73"/>
      <c r="V5" s="45"/>
      <c r="W5" s="45"/>
      <c r="X5" s="45"/>
      <c r="Y5" s="45"/>
      <c r="Z5" s="45"/>
      <c r="AA5" s="45"/>
      <c r="AB5" s="45"/>
      <c r="AC5" s="45"/>
    </row>
    <row r="6" s="44" customFormat="1" ht="25" customHeight="1" spans="1:29">
      <c r="A6" s="51" t="s">
        <v>303</v>
      </c>
      <c r="B6" s="52" t="s">
        <v>300</v>
      </c>
      <c r="C6" s="52" t="s">
        <v>304</v>
      </c>
      <c r="D6" s="51" t="s">
        <v>302</v>
      </c>
      <c r="E6" s="53">
        <f>3446*2</f>
        <v>6892</v>
      </c>
      <c r="F6" s="54">
        <v>21.555072</v>
      </c>
      <c r="G6" s="55">
        <f t="shared" si="0"/>
        <v>148557.556224</v>
      </c>
      <c r="H6" s="56">
        <f t="shared" si="1"/>
        <v>13370.18006016</v>
      </c>
      <c r="I6" s="56">
        <f t="shared" si="2"/>
        <v>161927.73628416</v>
      </c>
      <c r="J6" s="53">
        <f>3446*2</f>
        <v>6892</v>
      </c>
      <c r="K6" s="54">
        <v>21.555072</v>
      </c>
      <c r="L6" s="55">
        <f t="shared" si="3"/>
        <v>148557.556224</v>
      </c>
      <c r="M6" s="56">
        <f t="shared" si="4"/>
        <v>13370.18006016</v>
      </c>
      <c r="N6" s="56">
        <f t="shared" si="5"/>
        <v>161927.73628416</v>
      </c>
      <c r="O6" s="56"/>
      <c r="P6" s="55">
        <f t="shared" ref="P6:P29" si="6">G6-L6</f>
        <v>0</v>
      </c>
      <c r="Q6" s="75"/>
      <c r="R6" s="76"/>
      <c r="S6" s="73"/>
      <c r="T6" s="73"/>
      <c r="U6" s="73"/>
      <c r="V6" s="45"/>
      <c r="W6" s="45"/>
      <c r="X6" s="45"/>
      <c r="Y6" s="45"/>
      <c r="Z6" s="45"/>
      <c r="AA6" s="45"/>
      <c r="AB6" s="45"/>
      <c r="AC6" s="45"/>
    </row>
    <row r="7" s="44" customFormat="1" ht="25" customHeight="1" spans="1:29">
      <c r="A7" s="51" t="s">
        <v>305</v>
      </c>
      <c r="B7" s="52" t="s">
        <v>306</v>
      </c>
      <c r="C7" s="52" t="s">
        <v>307</v>
      </c>
      <c r="D7" s="51" t="s">
        <v>131</v>
      </c>
      <c r="E7" s="53">
        <f>2*864</f>
        <v>1728</v>
      </c>
      <c r="F7" s="54">
        <v>4.70489724878049</v>
      </c>
      <c r="G7" s="55">
        <f t="shared" si="0"/>
        <v>8130.06244589269</v>
      </c>
      <c r="H7" s="56">
        <f t="shared" si="1"/>
        <v>731.705620130342</v>
      </c>
      <c r="I7" s="56">
        <f t="shared" si="2"/>
        <v>8861.76806602303</v>
      </c>
      <c r="J7" s="53">
        <f>2*864</f>
        <v>1728</v>
      </c>
      <c r="K7" s="54">
        <v>4.70489724878049</v>
      </c>
      <c r="L7" s="55">
        <f t="shared" si="3"/>
        <v>8130.06244589269</v>
      </c>
      <c r="M7" s="56">
        <f t="shared" si="4"/>
        <v>731.705620130342</v>
      </c>
      <c r="N7" s="56">
        <f t="shared" si="5"/>
        <v>8861.76806602303</v>
      </c>
      <c r="O7" s="56"/>
      <c r="P7" s="55">
        <f t="shared" si="6"/>
        <v>0</v>
      </c>
      <c r="Q7" s="75"/>
      <c r="R7" s="76"/>
      <c r="S7" s="73"/>
      <c r="T7" s="73"/>
      <c r="U7" s="73"/>
      <c r="V7" s="45"/>
      <c r="W7" s="45"/>
      <c r="X7" s="45"/>
      <c r="Y7" s="45"/>
      <c r="Z7" s="45"/>
      <c r="AA7" s="45"/>
      <c r="AB7" s="45"/>
      <c r="AC7" s="45"/>
    </row>
    <row r="8" s="44" customFormat="1" ht="25" customHeight="1" spans="1:29">
      <c r="A8" s="51" t="s">
        <v>308</v>
      </c>
      <c r="B8" s="52" t="s">
        <v>306</v>
      </c>
      <c r="C8" s="52" t="s">
        <v>309</v>
      </c>
      <c r="D8" s="51" t="s">
        <v>131</v>
      </c>
      <c r="E8" s="53">
        <f>2*134</f>
        <v>268</v>
      </c>
      <c r="F8" s="54">
        <v>11.4703776</v>
      </c>
      <c r="G8" s="55">
        <f t="shared" si="0"/>
        <v>3074.0611968</v>
      </c>
      <c r="H8" s="56">
        <f t="shared" si="1"/>
        <v>276.665507712</v>
      </c>
      <c r="I8" s="56">
        <f t="shared" si="2"/>
        <v>3350.726704512</v>
      </c>
      <c r="J8" s="53">
        <f>2*134</f>
        <v>268</v>
      </c>
      <c r="K8" s="54">
        <v>11.4703776</v>
      </c>
      <c r="L8" s="55">
        <f t="shared" si="3"/>
        <v>3074.0611968</v>
      </c>
      <c r="M8" s="56">
        <f t="shared" si="4"/>
        <v>276.665507712</v>
      </c>
      <c r="N8" s="56">
        <f t="shared" si="5"/>
        <v>3350.726704512</v>
      </c>
      <c r="O8" s="56"/>
      <c r="P8" s="55">
        <f t="shared" si="6"/>
        <v>0</v>
      </c>
      <c r="Q8" s="75"/>
      <c r="R8" s="76"/>
      <c r="S8" s="73"/>
      <c r="T8" s="73"/>
      <c r="U8" s="73"/>
      <c r="V8" s="45"/>
      <c r="W8" s="45"/>
      <c r="X8" s="45"/>
      <c r="Y8" s="45"/>
      <c r="Z8" s="45"/>
      <c r="AA8" s="45"/>
      <c r="AB8" s="45"/>
      <c r="AC8" s="45"/>
    </row>
    <row r="9" s="44" customFormat="1" ht="25" customHeight="1" spans="1:29">
      <c r="A9" s="51" t="s">
        <v>310</v>
      </c>
      <c r="B9" s="52" t="s">
        <v>306</v>
      </c>
      <c r="C9" s="52" t="s">
        <v>311</v>
      </c>
      <c r="D9" s="51" t="s">
        <v>131</v>
      </c>
      <c r="E9" s="53">
        <f>2*120</f>
        <v>240</v>
      </c>
      <c r="F9" s="54">
        <v>3.39748992</v>
      </c>
      <c r="G9" s="55">
        <f t="shared" si="0"/>
        <v>815.3975808</v>
      </c>
      <c r="H9" s="56">
        <f t="shared" si="1"/>
        <v>73.385782272</v>
      </c>
      <c r="I9" s="56">
        <f t="shared" si="2"/>
        <v>888.783363072</v>
      </c>
      <c r="J9" s="53">
        <f>2*120</f>
        <v>240</v>
      </c>
      <c r="K9" s="54">
        <v>3.39748992</v>
      </c>
      <c r="L9" s="55">
        <f t="shared" si="3"/>
        <v>815.3975808</v>
      </c>
      <c r="M9" s="56">
        <f t="shared" si="4"/>
        <v>73.385782272</v>
      </c>
      <c r="N9" s="56">
        <f t="shared" si="5"/>
        <v>888.783363072</v>
      </c>
      <c r="O9" s="56"/>
      <c r="P9" s="55">
        <f t="shared" si="6"/>
        <v>0</v>
      </c>
      <c r="Q9" s="75"/>
      <c r="R9" s="76"/>
      <c r="S9" s="73"/>
      <c r="T9" s="73"/>
      <c r="U9" s="73"/>
      <c r="V9" s="45"/>
      <c r="W9" s="45"/>
      <c r="X9" s="45"/>
      <c r="Y9" s="45"/>
      <c r="Z9" s="45"/>
      <c r="AA9" s="45"/>
      <c r="AB9" s="45"/>
      <c r="AC9" s="45"/>
    </row>
    <row r="10" s="44" customFormat="1" ht="25" customHeight="1" spans="1:29">
      <c r="A10" s="51" t="s">
        <v>312</v>
      </c>
      <c r="B10" s="52" t="s">
        <v>306</v>
      </c>
      <c r="C10" s="52" t="s">
        <v>313</v>
      </c>
      <c r="D10" s="51" t="s">
        <v>131</v>
      </c>
      <c r="E10" s="53">
        <f>2*50</f>
        <v>100</v>
      </c>
      <c r="F10" s="54">
        <v>3.0215592</v>
      </c>
      <c r="G10" s="55">
        <f t="shared" si="0"/>
        <v>302.15592</v>
      </c>
      <c r="H10" s="56">
        <f t="shared" si="1"/>
        <v>27.1940328</v>
      </c>
      <c r="I10" s="56">
        <f t="shared" si="2"/>
        <v>329.3499528</v>
      </c>
      <c r="J10" s="53">
        <f>2*50</f>
        <v>100</v>
      </c>
      <c r="K10" s="54">
        <v>3.0215592</v>
      </c>
      <c r="L10" s="55">
        <f t="shared" si="3"/>
        <v>302.15592</v>
      </c>
      <c r="M10" s="56">
        <f t="shared" si="4"/>
        <v>27.1940328</v>
      </c>
      <c r="N10" s="56">
        <f t="shared" si="5"/>
        <v>329.3499528</v>
      </c>
      <c r="O10" s="56"/>
      <c r="P10" s="55">
        <f t="shared" si="6"/>
        <v>0</v>
      </c>
      <c r="Q10" s="75"/>
      <c r="R10" s="76"/>
      <c r="S10" s="73"/>
      <c r="T10" s="73"/>
      <c r="U10" s="73"/>
      <c r="V10" s="45"/>
      <c r="W10" s="45"/>
      <c r="X10" s="45"/>
      <c r="Y10" s="45"/>
      <c r="Z10" s="45"/>
      <c r="AA10" s="45"/>
      <c r="AB10" s="45"/>
      <c r="AC10" s="45"/>
    </row>
    <row r="11" s="44" customFormat="1" ht="25" customHeight="1" spans="1:29">
      <c r="A11" s="51" t="s">
        <v>314</v>
      </c>
      <c r="B11" s="52" t="s">
        <v>306</v>
      </c>
      <c r="C11" s="52" t="s">
        <v>315</v>
      </c>
      <c r="D11" s="51" t="s">
        <v>131</v>
      </c>
      <c r="E11" s="53">
        <f>2*242</f>
        <v>484</v>
      </c>
      <c r="F11" s="54">
        <v>5.02438464</v>
      </c>
      <c r="G11" s="55">
        <f t="shared" si="0"/>
        <v>2431.80216576</v>
      </c>
      <c r="H11" s="56">
        <f t="shared" si="1"/>
        <v>218.8621949184</v>
      </c>
      <c r="I11" s="56">
        <f t="shared" si="2"/>
        <v>2650.6643606784</v>
      </c>
      <c r="J11" s="53">
        <f>2*242</f>
        <v>484</v>
      </c>
      <c r="K11" s="54">
        <v>5.02438464</v>
      </c>
      <c r="L11" s="55">
        <f t="shared" si="3"/>
        <v>2431.80216576</v>
      </c>
      <c r="M11" s="56">
        <f t="shared" si="4"/>
        <v>218.8621949184</v>
      </c>
      <c r="N11" s="56">
        <f t="shared" si="5"/>
        <v>2650.6643606784</v>
      </c>
      <c r="O11" s="56"/>
      <c r="P11" s="55">
        <f t="shared" si="6"/>
        <v>0</v>
      </c>
      <c r="Q11" s="75"/>
      <c r="R11" s="76"/>
      <c r="S11" s="73"/>
      <c r="T11" s="73"/>
      <c r="U11" s="73"/>
      <c r="V11" s="45"/>
      <c r="W11" s="45"/>
      <c r="X11" s="45"/>
      <c r="Y11" s="45"/>
      <c r="Z11" s="45"/>
      <c r="AA11" s="45"/>
      <c r="AB11" s="45"/>
      <c r="AC11" s="45"/>
    </row>
    <row r="12" s="44" customFormat="1" ht="25" customHeight="1" spans="1:29">
      <c r="A12" s="51" t="s">
        <v>316</v>
      </c>
      <c r="B12" s="52" t="s">
        <v>317</v>
      </c>
      <c r="C12" s="52" t="s">
        <v>318</v>
      </c>
      <c r="D12" s="51" t="s">
        <v>319</v>
      </c>
      <c r="E12" s="53">
        <f>2*500</f>
        <v>1000</v>
      </c>
      <c r="F12" s="54">
        <v>7.954848</v>
      </c>
      <c r="G12" s="55">
        <f t="shared" si="0"/>
        <v>7954.848</v>
      </c>
      <c r="H12" s="56">
        <f t="shared" si="1"/>
        <v>715.93632</v>
      </c>
      <c r="I12" s="56">
        <f t="shared" si="2"/>
        <v>8670.78432</v>
      </c>
      <c r="J12" s="53">
        <f>2*500</f>
        <v>1000</v>
      </c>
      <c r="K12" s="54">
        <v>7.954848</v>
      </c>
      <c r="L12" s="55">
        <f t="shared" si="3"/>
        <v>7954.848</v>
      </c>
      <c r="M12" s="56">
        <f t="shared" si="4"/>
        <v>715.93632</v>
      </c>
      <c r="N12" s="56">
        <f t="shared" si="5"/>
        <v>8670.78432</v>
      </c>
      <c r="O12" s="56"/>
      <c r="P12" s="55">
        <f t="shared" si="6"/>
        <v>0</v>
      </c>
      <c r="Q12" s="75"/>
      <c r="R12" s="76"/>
      <c r="S12" s="73"/>
      <c r="T12" s="73"/>
      <c r="U12" s="73"/>
      <c r="V12" s="45"/>
      <c r="W12" s="45"/>
      <c r="X12" s="45"/>
      <c r="Y12" s="45"/>
      <c r="Z12" s="45"/>
      <c r="AA12" s="45"/>
      <c r="AB12" s="45"/>
      <c r="AC12" s="45"/>
    </row>
    <row r="13" s="44" customFormat="1" ht="25" customHeight="1" spans="1:29">
      <c r="A13" s="51" t="s">
        <v>320</v>
      </c>
      <c r="B13" s="52" t="s">
        <v>317</v>
      </c>
      <c r="C13" s="52" t="s">
        <v>321</v>
      </c>
      <c r="D13" s="51" t="s">
        <v>319</v>
      </c>
      <c r="E13" s="53">
        <f>2*500</f>
        <v>1000</v>
      </c>
      <c r="F13" s="54">
        <v>11.9451024</v>
      </c>
      <c r="G13" s="55">
        <f t="shared" si="0"/>
        <v>11945.1024</v>
      </c>
      <c r="H13" s="56">
        <f t="shared" si="1"/>
        <v>1075.059216</v>
      </c>
      <c r="I13" s="56">
        <f t="shared" si="2"/>
        <v>13020.161616</v>
      </c>
      <c r="J13" s="53">
        <f>2*500</f>
        <v>1000</v>
      </c>
      <c r="K13" s="54">
        <v>11.9451024</v>
      </c>
      <c r="L13" s="55">
        <f t="shared" si="3"/>
        <v>11945.1024</v>
      </c>
      <c r="M13" s="56">
        <f t="shared" si="4"/>
        <v>1075.059216</v>
      </c>
      <c r="N13" s="56">
        <f t="shared" si="5"/>
        <v>13020.161616</v>
      </c>
      <c r="O13" s="56"/>
      <c r="P13" s="55">
        <f t="shared" si="6"/>
        <v>0</v>
      </c>
      <c r="Q13" s="75"/>
      <c r="R13" s="76"/>
      <c r="S13" s="73"/>
      <c r="T13" s="73"/>
      <c r="U13" s="73"/>
      <c r="V13" s="45"/>
      <c r="W13" s="45"/>
      <c r="X13" s="45"/>
      <c r="Y13" s="45"/>
      <c r="Z13" s="45"/>
      <c r="AA13" s="45"/>
      <c r="AB13" s="45"/>
      <c r="AC13" s="45"/>
    </row>
    <row r="14" s="44" customFormat="1" ht="25" customHeight="1" spans="1:29">
      <c r="A14" s="51" t="s">
        <v>322</v>
      </c>
      <c r="B14" s="52" t="s">
        <v>317</v>
      </c>
      <c r="C14" s="52" t="s">
        <v>323</v>
      </c>
      <c r="D14" s="51" t="s">
        <v>319</v>
      </c>
      <c r="E14" s="53">
        <f>2*75</f>
        <v>150</v>
      </c>
      <c r="F14" s="54">
        <v>17.96256</v>
      </c>
      <c r="G14" s="55">
        <f t="shared" si="0"/>
        <v>2694.384</v>
      </c>
      <c r="H14" s="56">
        <f t="shared" si="1"/>
        <v>242.49456</v>
      </c>
      <c r="I14" s="56">
        <f t="shared" si="2"/>
        <v>2936.87856</v>
      </c>
      <c r="J14" s="53">
        <f>2*75</f>
        <v>150</v>
      </c>
      <c r="K14" s="54">
        <v>17.96256</v>
      </c>
      <c r="L14" s="55">
        <f t="shared" si="3"/>
        <v>2694.384</v>
      </c>
      <c r="M14" s="56">
        <f t="shared" si="4"/>
        <v>242.49456</v>
      </c>
      <c r="N14" s="56">
        <f t="shared" si="5"/>
        <v>2936.87856</v>
      </c>
      <c r="O14" s="56"/>
      <c r="P14" s="55">
        <f t="shared" si="6"/>
        <v>0</v>
      </c>
      <c r="Q14" s="75"/>
      <c r="R14" s="76"/>
      <c r="S14" s="73"/>
      <c r="T14" s="73"/>
      <c r="U14" s="73"/>
      <c r="V14" s="45"/>
      <c r="W14" s="45"/>
      <c r="X14" s="45"/>
      <c r="Y14" s="45"/>
      <c r="Z14" s="45"/>
      <c r="AA14" s="45"/>
      <c r="AB14" s="45"/>
      <c r="AC14" s="45"/>
    </row>
    <row r="15" s="44" customFormat="1" ht="25" customHeight="1" spans="1:29">
      <c r="A15" s="51" t="s">
        <v>324</v>
      </c>
      <c r="B15" s="52" t="s">
        <v>325</v>
      </c>
      <c r="C15" s="52" t="s">
        <v>325</v>
      </c>
      <c r="D15" s="51" t="s">
        <v>319</v>
      </c>
      <c r="E15" s="53">
        <v>10500</v>
      </c>
      <c r="F15" s="54">
        <v>3.2076</v>
      </c>
      <c r="G15" s="55">
        <f t="shared" si="0"/>
        <v>33679.8</v>
      </c>
      <c r="H15" s="56">
        <f t="shared" si="1"/>
        <v>3031.182</v>
      </c>
      <c r="I15" s="56">
        <f t="shared" si="2"/>
        <v>36710.982</v>
      </c>
      <c r="J15" s="53">
        <v>10500</v>
      </c>
      <c r="K15" s="54">
        <v>3.2076</v>
      </c>
      <c r="L15" s="55">
        <f t="shared" si="3"/>
        <v>33679.8</v>
      </c>
      <c r="M15" s="56">
        <f t="shared" si="4"/>
        <v>3031.182</v>
      </c>
      <c r="N15" s="56">
        <f t="shared" si="5"/>
        <v>36710.982</v>
      </c>
      <c r="O15" s="56"/>
      <c r="P15" s="55">
        <f t="shared" si="6"/>
        <v>0</v>
      </c>
      <c r="Q15" s="75"/>
      <c r="R15" s="76"/>
      <c r="S15" s="73"/>
      <c r="T15" s="73"/>
      <c r="U15" s="73"/>
      <c r="V15" s="45"/>
      <c r="W15" s="45"/>
      <c r="X15" s="45"/>
      <c r="Y15" s="45"/>
      <c r="Z15" s="45"/>
      <c r="AA15" s="45"/>
      <c r="AB15" s="45"/>
      <c r="AC15" s="45"/>
    </row>
    <row r="16" s="44" customFormat="1" ht="25" customHeight="1" spans="1:29">
      <c r="A16" s="51" t="s">
        <v>326</v>
      </c>
      <c r="B16" s="52" t="s">
        <v>327</v>
      </c>
      <c r="C16" s="52" t="s">
        <v>327</v>
      </c>
      <c r="D16" s="51" t="s">
        <v>145</v>
      </c>
      <c r="E16" s="53">
        <f>2*672</f>
        <v>1344</v>
      </c>
      <c r="F16" s="54">
        <v>38.4912</v>
      </c>
      <c r="G16" s="55">
        <f t="shared" si="0"/>
        <v>51732.1728</v>
      </c>
      <c r="H16" s="56">
        <f t="shared" si="1"/>
        <v>4655.895552</v>
      </c>
      <c r="I16" s="56">
        <f t="shared" si="2"/>
        <v>56388.068352</v>
      </c>
      <c r="J16" s="53">
        <f>2*672</f>
        <v>1344</v>
      </c>
      <c r="K16" s="54">
        <v>38.4912</v>
      </c>
      <c r="L16" s="55">
        <f t="shared" si="3"/>
        <v>51732.1728</v>
      </c>
      <c r="M16" s="56">
        <f t="shared" si="4"/>
        <v>4655.895552</v>
      </c>
      <c r="N16" s="56">
        <f t="shared" si="5"/>
        <v>56388.068352</v>
      </c>
      <c r="O16" s="56"/>
      <c r="P16" s="55">
        <f t="shared" si="6"/>
        <v>0</v>
      </c>
      <c r="Q16" s="75"/>
      <c r="R16" s="76"/>
      <c r="S16" s="73"/>
      <c r="T16" s="73"/>
      <c r="U16" s="73"/>
      <c r="V16" s="45"/>
      <c r="W16" s="45"/>
      <c r="X16" s="45"/>
      <c r="Y16" s="45"/>
      <c r="Z16" s="45"/>
      <c r="AA16" s="45"/>
      <c r="AB16" s="45"/>
      <c r="AC16" s="45"/>
    </row>
    <row r="17" s="44" customFormat="1" ht="25" customHeight="1" spans="1:29">
      <c r="A17" s="51" t="s">
        <v>328</v>
      </c>
      <c r="B17" s="52" t="s">
        <v>329</v>
      </c>
      <c r="C17" s="52" t="s">
        <v>330</v>
      </c>
      <c r="D17" s="51" t="s">
        <v>131</v>
      </c>
      <c r="E17" s="53">
        <f>2*26</f>
        <v>52</v>
      </c>
      <c r="F17" s="54">
        <v>80.4722688</v>
      </c>
      <c r="G17" s="55">
        <f t="shared" si="0"/>
        <v>4184.5579776</v>
      </c>
      <c r="H17" s="56">
        <f t="shared" si="1"/>
        <v>376.610217984</v>
      </c>
      <c r="I17" s="56">
        <f t="shared" si="2"/>
        <v>4561.168195584</v>
      </c>
      <c r="J17" s="53">
        <f>2*26</f>
        <v>52</v>
      </c>
      <c r="K17" s="54">
        <v>80.4722688</v>
      </c>
      <c r="L17" s="55">
        <f t="shared" si="3"/>
        <v>4184.5579776</v>
      </c>
      <c r="M17" s="56">
        <f t="shared" si="4"/>
        <v>376.610217984</v>
      </c>
      <c r="N17" s="56">
        <f t="shared" si="5"/>
        <v>4561.168195584</v>
      </c>
      <c r="O17" s="56"/>
      <c r="P17" s="55">
        <f t="shared" si="6"/>
        <v>0</v>
      </c>
      <c r="Q17" s="75"/>
      <c r="R17" s="76"/>
      <c r="S17" s="73"/>
      <c r="T17" s="73"/>
      <c r="U17" s="73"/>
      <c r="V17" s="45"/>
      <c r="W17" s="45"/>
      <c r="X17" s="45"/>
      <c r="Y17" s="45"/>
      <c r="Z17" s="45"/>
      <c r="AA17" s="45"/>
      <c r="AB17" s="45"/>
      <c r="AC17" s="45"/>
    </row>
    <row r="18" s="44" customFormat="1" ht="25" customHeight="1" spans="1:29">
      <c r="A18" s="51" t="s">
        <v>331</v>
      </c>
      <c r="B18" s="52" t="s">
        <v>332</v>
      </c>
      <c r="C18" s="52" t="s">
        <v>333</v>
      </c>
      <c r="D18" s="51" t="s">
        <v>334</v>
      </c>
      <c r="E18" s="53">
        <f>2*12</f>
        <v>24</v>
      </c>
      <c r="F18" s="54">
        <v>112.90752</v>
      </c>
      <c r="G18" s="55">
        <f t="shared" si="0"/>
        <v>2709.78048</v>
      </c>
      <c r="H18" s="56">
        <f t="shared" si="1"/>
        <v>243.8802432</v>
      </c>
      <c r="I18" s="56">
        <f t="shared" si="2"/>
        <v>2953.6607232</v>
      </c>
      <c r="J18" s="53">
        <f>2*12</f>
        <v>24</v>
      </c>
      <c r="K18" s="54">
        <v>112.90752</v>
      </c>
      <c r="L18" s="55">
        <f t="shared" si="3"/>
        <v>2709.78048</v>
      </c>
      <c r="M18" s="56">
        <f t="shared" si="4"/>
        <v>243.8802432</v>
      </c>
      <c r="N18" s="56">
        <f t="shared" si="5"/>
        <v>2953.6607232</v>
      </c>
      <c r="O18" s="56"/>
      <c r="P18" s="55">
        <f t="shared" si="6"/>
        <v>0</v>
      </c>
      <c r="Q18" s="75"/>
      <c r="R18" s="76"/>
      <c r="S18" s="73"/>
      <c r="T18" s="73"/>
      <c r="U18" s="73"/>
      <c r="V18" s="45"/>
      <c r="W18" s="45"/>
      <c r="X18" s="45"/>
      <c r="Y18" s="45"/>
      <c r="Z18" s="45"/>
      <c r="AA18" s="45"/>
      <c r="AB18" s="45"/>
      <c r="AC18" s="45"/>
    </row>
    <row r="19" s="44" customFormat="1" ht="25" customHeight="1" spans="1:29">
      <c r="A19" s="51" t="s">
        <v>335</v>
      </c>
      <c r="B19" s="52" t="s">
        <v>336</v>
      </c>
      <c r="C19" s="52" t="s">
        <v>337</v>
      </c>
      <c r="D19" s="51" t="s">
        <v>319</v>
      </c>
      <c r="E19" s="53">
        <f>2*600</f>
        <v>1200</v>
      </c>
      <c r="F19" s="54">
        <v>8.6990112</v>
      </c>
      <c r="G19" s="55">
        <f t="shared" si="0"/>
        <v>10438.81344</v>
      </c>
      <c r="H19" s="56">
        <f t="shared" si="1"/>
        <v>939.4932096</v>
      </c>
      <c r="I19" s="56">
        <f t="shared" si="2"/>
        <v>11378.3066496</v>
      </c>
      <c r="J19" s="53">
        <f>2*600</f>
        <v>1200</v>
      </c>
      <c r="K19" s="54">
        <v>8.6990112</v>
      </c>
      <c r="L19" s="55">
        <f t="shared" si="3"/>
        <v>10438.81344</v>
      </c>
      <c r="M19" s="56">
        <f t="shared" si="4"/>
        <v>939.4932096</v>
      </c>
      <c r="N19" s="56">
        <f t="shared" si="5"/>
        <v>11378.3066496</v>
      </c>
      <c r="O19" s="56"/>
      <c r="P19" s="55">
        <f t="shared" si="6"/>
        <v>0</v>
      </c>
      <c r="Q19" s="75"/>
      <c r="R19" s="76"/>
      <c r="S19" s="73"/>
      <c r="T19" s="73"/>
      <c r="U19" s="73"/>
      <c r="V19" s="45"/>
      <c r="W19" s="45"/>
      <c r="X19" s="45"/>
      <c r="Y19" s="45"/>
      <c r="Z19" s="45"/>
      <c r="AA19" s="45"/>
      <c r="AB19" s="45"/>
      <c r="AC19" s="45"/>
    </row>
    <row r="20" s="44" customFormat="1" ht="25" customHeight="1" spans="1:29">
      <c r="A20" s="51" t="s">
        <v>338</v>
      </c>
      <c r="B20" s="52" t="s">
        <v>339</v>
      </c>
      <c r="C20" s="52" t="s">
        <v>340</v>
      </c>
      <c r="D20" s="51" t="s">
        <v>319</v>
      </c>
      <c r="E20" s="53">
        <f>2*280</f>
        <v>560</v>
      </c>
      <c r="F20" s="54">
        <v>15.139872</v>
      </c>
      <c r="G20" s="55">
        <f t="shared" si="0"/>
        <v>8478.32832</v>
      </c>
      <c r="H20" s="56">
        <f t="shared" si="1"/>
        <v>763.0495488</v>
      </c>
      <c r="I20" s="56">
        <f t="shared" si="2"/>
        <v>9241.3778688</v>
      </c>
      <c r="J20" s="53">
        <f>2*280</f>
        <v>560</v>
      </c>
      <c r="K20" s="54">
        <v>15.139872</v>
      </c>
      <c r="L20" s="55">
        <f t="shared" si="3"/>
        <v>8478.32832</v>
      </c>
      <c r="M20" s="56">
        <f t="shared" si="4"/>
        <v>763.0495488</v>
      </c>
      <c r="N20" s="56">
        <f t="shared" si="5"/>
        <v>9241.3778688</v>
      </c>
      <c r="O20" s="56"/>
      <c r="P20" s="55">
        <f t="shared" si="6"/>
        <v>0</v>
      </c>
      <c r="Q20" s="75"/>
      <c r="R20" s="76"/>
      <c r="S20" s="73"/>
      <c r="T20" s="73"/>
      <c r="U20" s="73"/>
      <c r="V20" s="45"/>
      <c r="W20" s="45"/>
      <c r="X20" s="45"/>
      <c r="Y20" s="45"/>
      <c r="Z20" s="45"/>
      <c r="AA20" s="45"/>
      <c r="AB20" s="45"/>
      <c r="AC20" s="45"/>
    </row>
    <row r="21" s="44" customFormat="1" ht="25" customHeight="1" spans="1:29">
      <c r="A21" s="51" t="s">
        <v>341</v>
      </c>
      <c r="B21" s="52" t="s">
        <v>342</v>
      </c>
      <c r="C21" s="52" t="s">
        <v>343</v>
      </c>
      <c r="D21" s="51" t="s">
        <v>131</v>
      </c>
      <c r="E21" s="53">
        <f>2*24</f>
        <v>48</v>
      </c>
      <c r="F21" s="54">
        <v>1.92456</v>
      </c>
      <c r="G21" s="55">
        <f t="shared" si="0"/>
        <v>92.37888</v>
      </c>
      <c r="H21" s="56">
        <f t="shared" si="1"/>
        <v>8.3140992</v>
      </c>
      <c r="I21" s="56">
        <f t="shared" si="2"/>
        <v>100.6929792</v>
      </c>
      <c r="J21" s="53">
        <f>2*24</f>
        <v>48</v>
      </c>
      <c r="K21" s="54">
        <v>1.92456</v>
      </c>
      <c r="L21" s="55">
        <f t="shared" si="3"/>
        <v>92.37888</v>
      </c>
      <c r="M21" s="56">
        <f t="shared" si="4"/>
        <v>8.3140992</v>
      </c>
      <c r="N21" s="56">
        <f t="shared" si="5"/>
        <v>100.6929792</v>
      </c>
      <c r="O21" s="56"/>
      <c r="P21" s="55">
        <f t="shared" si="6"/>
        <v>0</v>
      </c>
      <c r="Q21" s="75"/>
      <c r="R21" s="76"/>
      <c r="S21" s="73"/>
      <c r="T21" s="73"/>
      <c r="U21" s="73"/>
      <c r="V21" s="45"/>
      <c r="W21" s="45"/>
      <c r="X21" s="45"/>
      <c r="Y21" s="45"/>
      <c r="Z21" s="45"/>
      <c r="AA21" s="45"/>
      <c r="AB21" s="45"/>
      <c r="AC21" s="45"/>
    </row>
    <row r="22" s="44" customFormat="1" ht="25" customHeight="1" spans="1:29">
      <c r="A22" s="51" t="s">
        <v>344</v>
      </c>
      <c r="B22" s="52" t="s">
        <v>345</v>
      </c>
      <c r="C22" s="52" t="s">
        <v>346</v>
      </c>
      <c r="D22" s="51" t="s">
        <v>152</v>
      </c>
      <c r="E22" s="53">
        <f>2*54</f>
        <v>108</v>
      </c>
      <c r="F22" s="54">
        <v>153.9648</v>
      </c>
      <c r="G22" s="55">
        <f t="shared" si="0"/>
        <v>16628.1984</v>
      </c>
      <c r="H22" s="56">
        <f t="shared" si="1"/>
        <v>1496.537856</v>
      </c>
      <c r="I22" s="56">
        <f t="shared" si="2"/>
        <v>18124.736256</v>
      </c>
      <c r="J22" s="53">
        <v>0</v>
      </c>
      <c r="K22" s="54">
        <v>153.9648</v>
      </c>
      <c r="L22" s="55">
        <f t="shared" si="3"/>
        <v>0</v>
      </c>
      <c r="M22" s="56">
        <f t="shared" si="4"/>
        <v>0</v>
      </c>
      <c r="N22" s="56">
        <f t="shared" si="5"/>
        <v>0</v>
      </c>
      <c r="O22" s="56"/>
      <c r="P22" s="55">
        <f t="shared" si="6"/>
        <v>16628.1984</v>
      </c>
      <c r="Q22" s="75"/>
      <c r="R22" s="76"/>
      <c r="S22" s="73"/>
      <c r="T22" s="73"/>
      <c r="U22" s="73"/>
      <c r="V22" s="45"/>
      <c r="W22" s="45"/>
      <c r="X22" s="45"/>
      <c r="Y22" s="45"/>
      <c r="Z22" s="45"/>
      <c r="AA22" s="45"/>
      <c r="AB22" s="45"/>
      <c r="AC22" s="45"/>
    </row>
    <row r="23" s="44" customFormat="1" ht="25" customHeight="1" spans="1:29">
      <c r="A23" s="51" t="s">
        <v>347</v>
      </c>
      <c r="B23" s="52" t="s">
        <v>348</v>
      </c>
      <c r="C23" s="52" t="s">
        <v>349</v>
      </c>
      <c r="D23" s="51" t="s">
        <v>131</v>
      </c>
      <c r="E23" s="53">
        <f>2*261</f>
        <v>522</v>
      </c>
      <c r="F23" s="54">
        <v>23.09472</v>
      </c>
      <c r="G23" s="55">
        <f t="shared" si="0"/>
        <v>12055.44384</v>
      </c>
      <c r="H23" s="56">
        <f t="shared" si="1"/>
        <v>1084.9899456</v>
      </c>
      <c r="I23" s="56">
        <f t="shared" si="2"/>
        <v>13140.4337856</v>
      </c>
      <c r="J23" s="53">
        <f>2*261</f>
        <v>522</v>
      </c>
      <c r="K23" s="54">
        <v>23.09472</v>
      </c>
      <c r="L23" s="55">
        <f t="shared" si="3"/>
        <v>12055.44384</v>
      </c>
      <c r="M23" s="56">
        <f t="shared" si="4"/>
        <v>1084.9899456</v>
      </c>
      <c r="N23" s="56">
        <f t="shared" si="5"/>
        <v>13140.4337856</v>
      </c>
      <c r="O23" s="56"/>
      <c r="P23" s="55">
        <f t="shared" si="6"/>
        <v>0</v>
      </c>
      <c r="Q23" s="75"/>
      <c r="R23" s="76"/>
      <c r="S23" s="73"/>
      <c r="T23" s="73"/>
      <c r="U23" s="73"/>
      <c r="V23" s="45"/>
      <c r="W23" s="45"/>
      <c r="X23" s="45"/>
      <c r="Y23" s="45"/>
      <c r="Z23" s="45"/>
      <c r="AA23" s="45"/>
      <c r="AB23" s="45"/>
      <c r="AC23" s="45"/>
    </row>
    <row r="24" s="44" customFormat="1" ht="25" customHeight="1" spans="1:29">
      <c r="A24" s="51" t="s">
        <v>350</v>
      </c>
      <c r="B24" s="52" t="s">
        <v>351</v>
      </c>
      <c r="C24" s="52" t="s">
        <v>351</v>
      </c>
      <c r="D24" s="51" t="s">
        <v>352</v>
      </c>
      <c r="E24" s="53">
        <v>0</v>
      </c>
      <c r="F24" s="54">
        <v>28.22688</v>
      </c>
      <c r="G24" s="55">
        <f t="shared" si="0"/>
        <v>0</v>
      </c>
      <c r="H24" s="56">
        <f t="shared" si="1"/>
        <v>0</v>
      </c>
      <c r="I24" s="56">
        <f t="shared" si="2"/>
        <v>0</v>
      </c>
      <c r="J24" s="53">
        <v>0</v>
      </c>
      <c r="K24" s="54">
        <v>28.22688</v>
      </c>
      <c r="L24" s="55">
        <f t="shared" si="3"/>
        <v>0</v>
      </c>
      <c r="M24" s="56">
        <f t="shared" si="4"/>
        <v>0</v>
      </c>
      <c r="N24" s="56">
        <f t="shared" si="5"/>
        <v>0</v>
      </c>
      <c r="O24" s="56"/>
      <c r="P24" s="55">
        <f t="shared" si="6"/>
        <v>0</v>
      </c>
      <c r="Q24" s="75"/>
      <c r="R24" s="76"/>
      <c r="S24" s="73"/>
      <c r="T24" s="73"/>
      <c r="U24" s="73"/>
      <c r="V24" s="45"/>
      <c r="W24" s="45"/>
      <c r="X24" s="45"/>
      <c r="Y24" s="45"/>
      <c r="Z24" s="45"/>
      <c r="AA24" s="45"/>
      <c r="AB24" s="45"/>
      <c r="AC24" s="45"/>
    </row>
    <row r="25" s="44" customFormat="1" ht="25" customHeight="1" spans="1:29">
      <c r="A25" s="51" t="s">
        <v>353</v>
      </c>
      <c r="B25" s="52" t="s">
        <v>354</v>
      </c>
      <c r="C25" s="52" t="s">
        <v>354</v>
      </c>
      <c r="D25" s="51" t="s">
        <v>355</v>
      </c>
      <c r="E25" s="53">
        <f>2*90</f>
        <v>180</v>
      </c>
      <c r="F25" s="54">
        <v>3.84912</v>
      </c>
      <c r="G25" s="55">
        <f t="shared" si="0"/>
        <v>692.8416</v>
      </c>
      <c r="H25" s="56">
        <f t="shared" si="1"/>
        <v>62.355744</v>
      </c>
      <c r="I25" s="56">
        <f t="shared" si="2"/>
        <v>755.197344</v>
      </c>
      <c r="J25" s="53">
        <f>2*90</f>
        <v>180</v>
      </c>
      <c r="K25" s="54">
        <v>3.84912</v>
      </c>
      <c r="L25" s="55">
        <f t="shared" si="3"/>
        <v>692.8416</v>
      </c>
      <c r="M25" s="56">
        <f t="shared" si="4"/>
        <v>62.355744</v>
      </c>
      <c r="N25" s="56">
        <f t="shared" si="5"/>
        <v>755.197344</v>
      </c>
      <c r="O25" s="56"/>
      <c r="P25" s="55">
        <f t="shared" si="6"/>
        <v>0</v>
      </c>
      <c r="Q25" s="75"/>
      <c r="R25" s="76"/>
      <c r="S25" s="73"/>
      <c r="T25" s="73"/>
      <c r="U25" s="73"/>
      <c r="V25" s="45"/>
      <c r="W25" s="45"/>
      <c r="X25" s="45"/>
      <c r="Y25" s="45"/>
      <c r="Z25" s="45"/>
      <c r="AA25" s="45"/>
      <c r="AB25" s="45"/>
      <c r="AC25" s="45"/>
    </row>
    <row r="26" s="44" customFormat="1" ht="25" customHeight="1" spans="1:29">
      <c r="A26" s="51" t="s">
        <v>356</v>
      </c>
      <c r="B26" s="52" t="s">
        <v>357</v>
      </c>
      <c r="C26" s="52" t="s">
        <v>358</v>
      </c>
      <c r="D26" s="51" t="s">
        <v>319</v>
      </c>
      <c r="E26" s="53">
        <v>1080</v>
      </c>
      <c r="F26" s="54">
        <v>2.56608</v>
      </c>
      <c r="G26" s="55">
        <f t="shared" si="0"/>
        <v>2771.3664</v>
      </c>
      <c r="H26" s="56">
        <f t="shared" si="1"/>
        <v>249.422976</v>
      </c>
      <c r="I26" s="56">
        <f t="shared" si="2"/>
        <v>3020.789376</v>
      </c>
      <c r="J26" s="53">
        <v>1080</v>
      </c>
      <c r="K26" s="54">
        <v>2.56608</v>
      </c>
      <c r="L26" s="55">
        <f t="shared" si="3"/>
        <v>2771.3664</v>
      </c>
      <c r="M26" s="56">
        <f t="shared" si="4"/>
        <v>249.422976</v>
      </c>
      <c r="N26" s="56">
        <f t="shared" si="5"/>
        <v>3020.789376</v>
      </c>
      <c r="O26" s="56"/>
      <c r="P26" s="55">
        <f t="shared" si="6"/>
        <v>0</v>
      </c>
      <c r="Q26" s="75"/>
      <c r="R26" s="76"/>
      <c r="S26" s="73"/>
      <c r="T26" s="73"/>
      <c r="U26" s="73"/>
      <c r="V26" s="45"/>
      <c r="W26" s="45"/>
      <c r="X26" s="45"/>
      <c r="Y26" s="45"/>
      <c r="Z26" s="45"/>
      <c r="AA26" s="45"/>
      <c r="AB26" s="45"/>
      <c r="AC26" s="45"/>
    </row>
    <row r="27" s="44" customFormat="1" ht="25" customHeight="1" spans="1:16231">
      <c r="A27" s="55"/>
      <c r="B27" s="57" t="s">
        <v>286</v>
      </c>
      <c r="C27" s="57"/>
      <c r="D27" s="58"/>
      <c r="E27" s="59"/>
      <c r="F27" s="56"/>
      <c r="G27" s="55">
        <f>G29*1%</f>
        <v>3864.15448246853</v>
      </c>
      <c r="H27" s="56"/>
      <c r="I27" s="71"/>
      <c r="J27" s="59"/>
      <c r="K27" s="56"/>
      <c r="L27" s="55">
        <f>L29*1%*0</f>
        <v>0</v>
      </c>
      <c r="M27" s="56"/>
      <c r="N27" s="71"/>
      <c r="O27" s="71"/>
      <c r="P27" s="55">
        <f t="shared" si="6"/>
        <v>3864.15448246853</v>
      </c>
      <c r="Q27" s="77"/>
      <c r="R27" s="7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WZG27" s="5"/>
    </row>
    <row r="28" s="44" customFormat="1" ht="25" customHeight="1" spans="1:16231">
      <c r="A28" s="60" t="s">
        <v>30</v>
      </c>
      <c r="B28" s="57" t="s">
        <v>287</v>
      </c>
      <c r="C28" s="57"/>
      <c r="D28" s="58"/>
      <c r="E28" s="59"/>
      <c r="F28" s="56"/>
      <c r="G28" s="55">
        <f>G29*1.6%</f>
        <v>6182.64717194964</v>
      </c>
      <c r="H28" s="56"/>
      <c r="I28" s="56"/>
      <c r="J28" s="59"/>
      <c r="K28" s="56"/>
      <c r="L28" s="55">
        <f>L29*1.6%*0</f>
        <v>0</v>
      </c>
      <c r="M28" s="56"/>
      <c r="N28" s="56"/>
      <c r="O28" s="56"/>
      <c r="P28" s="55">
        <f t="shared" si="6"/>
        <v>6182.64717194964</v>
      </c>
      <c r="Q28" s="75"/>
      <c r="R28" s="76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WZG28" s="5"/>
    </row>
    <row r="29" s="44" customFormat="1" ht="25" customHeight="1" spans="1:16231">
      <c r="A29" s="60" t="s">
        <v>30</v>
      </c>
      <c r="B29" s="57" t="s">
        <v>360</v>
      </c>
      <c r="C29" s="57"/>
      <c r="D29" s="61"/>
      <c r="E29" s="62"/>
      <c r="F29" s="62"/>
      <c r="G29" s="63">
        <f>SUM(G5:G26)</f>
        <v>386415.448246853</v>
      </c>
      <c r="H29" s="64"/>
      <c r="I29" s="64"/>
      <c r="J29" s="62"/>
      <c r="K29" s="62"/>
      <c r="L29" s="63">
        <f>SUM(L5:L26)</f>
        <v>369787.249846853</v>
      </c>
      <c r="M29" s="64"/>
      <c r="N29" s="64"/>
      <c r="O29" s="64"/>
      <c r="P29" s="55">
        <f t="shared" si="6"/>
        <v>16628.1984</v>
      </c>
      <c r="Q29" s="78"/>
      <c r="R29" s="79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WZG29" s="5"/>
    </row>
    <row r="30" s="44" customFormat="1" spans="1:16231">
      <c r="A30" s="65" t="s">
        <v>32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80" t="s">
        <v>33</v>
      </c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WZG30" s="5"/>
    </row>
  </sheetData>
  <mergeCells count="13">
    <mergeCell ref="A1:P1"/>
    <mergeCell ref="A2:E2"/>
    <mergeCell ref="O2:P2"/>
    <mergeCell ref="E3:I3"/>
    <mergeCell ref="J3:N3"/>
    <mergeCell ref="A3:A4"/>
    <mergeCell ref="B3:B4"/>
    <mergeCell ref="C3:C4"/>
    <mergeCell ref="D3:D4"/>
    <mergeCell ref="O3:O4"/>
    <mergeCell ref="P3:P4"/>
    <mergeCell ref="Q3:Q4"/>
    <mergeCell ref="R3:R4"/>
  </mergeCells>
  <printOptions horizontalCentered="1"/>
  <pageMargins left="0.393055555555556" right="0.393055555555556" top="0.590277777777778" bottom="0.393055555555556" header="0.5" footer="0.184722222222222"/>
  <pageSetup paperSize="9" fitToHeight="0" orientation="landscape" horizontalDpi="600"/>
  <headerFooter>
    <oddFooter>&amp;C&amp;"宋体"&amp;9第 &amp;P 页，共 &amp;N 页</oddFooter>
  </headerFooter>
  <colBreaks count="2" manualBreakCount="2">
    <brk id="18" max="28" man="1"/>
    <brk id="6625" max="10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9"/>
  <sheetViews>
    <sheetView view="pageBreakPreview" zoomScaleNormal="100" workbookViewId="0">
      <selection activeCell="H37" sqref="H37"/>
    </sheetView>
  </sheetViews>
  <sheetFormatPr defaultColWidth="8.90833333333333" defaultRowHeight="13.5"/>
  <cols>
    <col min="1" max="1" width="8.90833333333333" style="5"/>
    <col min="2" max="2" width="23.375" style="5" customWidth="1"/>
    <col min="3" max="3" width="38.8166666666667" style="5" customWidth="1"/>
    <col min="4" max="11" width="9.20833333333333" style="5" customWidth="1"/>
    <col min="12" max="12" width="10.4416666666667" style="5" customWidth="1"/>
    <col min="13" max="16384" width="8.90833333333333" style="5"/>
  </cols>
  <sheetData>
    <row r="1" s="3" customFormat="1" ht="33" customHeight="1" spans="1:255">
      <c r="A1" s="6" t="s">
        <v>364</v>
      </c>
      <c r="B1" s="6"/>
      <c r="C1" s="6"/>
      <c r="D1" s="6"/>
      <c r="E1" s="6"/>
      <c r="F1" s="6"/>
      <c r="G1" s="6"/>
      <c r="H1" s="6"/>
      <c r="I1" s="6"/>
      <c r="J1" s="6"/>
      <c r="K1" s="6"/>
      <c r="L1" s="28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</row>
    <row r="2" s="4" customFormat="1" ht="17" customHeight="1" spans="1:43">
      <c r="A2" s="7" t="s">
        <v>1</v>
      </c>
      <c r="B2" s="7"/>
      <c r="C2" s="7"/>
      <c r="D2" s="7"/>
      <c r="E2" s="7"/>
      <c r="F2" s="8"/>
      <c r="G2" s="9"/>
      <c r="H2" s="8"/>
      <c r="I2" s="8"/>
      <c r="J2" s="31" t="s">
        <v>3</v>
      </c>
      <c r="K2" s="31"/>
      <c r="L2" s="9"/>
      <c r="M2" s="8"/>
      <c r="N2" s="8"/>
      <c r="O2" s="31"/>
      <c r="P2" s="31"/>
      <c r="Q2" s="8"/>
      <c r="R2" s="9"/>
      <c r="S2" s="8"/>
      <c r="T2" s="8"/>
      <c r="U2" s="8"/>
      <c r="V2" s="9"/>
      <c r="W2" s="9"/>
      <c r="X2" s="38"/>
      <c r="Y2" s="39"/>
      <c r="Z2" s="39"/>
      <c r="AA2" s="9"/>
      <c r="AB2" s="40"/>
      <c r="AC2" s="39"/>
      <c r="AD2" s="39"/>
      <c r="AE2" s="41"/>
      <c r="AF2" s="42"/>
      <c r="AG2" s="42"/>
      <c r="AH2" s="42"/>
      <c r="AI2" s="42"/>
      <c r="AJ2" s="42"/>
      <c r="AK2" s="42"/>
      <c r="AL2" s="42"/>
      <c r="AM2" s="42"/>
      <c r="AN2" s="42"/>
      <c r="AO2" s="43"/>
      <c r="AP2" s="43"/>
      <c r="AQ2" s="43"/>
    </row>
    <row r="3" ht="18" customHeight="1" spans="1:12">
      <c r="A3" s="10" t="s">
        <v>4</v>
      </c>
      <c r="B3" s="10" t="s">
        <v>6</v>
      </c>
      <c r="C3" s="10" t="s">
        <v>365</v>
      </c>
      <c r="D3" s="11" t="s">
        <v>7</v>
      </c>
      <c r="E3" s="11"/>
      <c r="F3" s="11"/>
      <c r="G3" s="11" t="s">
        <v>8</v>
      </c>
      <c r="H3" s="11"/>
      <c r="I3" s="11"/>
      <c r="J3" s="32" t="s">
        <v>9</v>
      </c>
      <c r="K3" s="32" t="s">
        <v>10</v>
      </c>
      <c r="L3" s="33" t="s">
        <v>190</v>
      </c>
    </row>
    <row r="4" ht="18" customHeight="1" spans="1:12">
      <c r="A4" s="10"/>
      <c r="B4" s="10"/>
      <c r="C4" s="10"/>
      <c r="D4" s="12" t="s">
        <v>19</v>
      </c>
      <c r="E4" s="12" t="s">
        <v>20</v>
      </c>
      <c r="F4" s="12" t="s">
        <v>21</v>
      </c>
      <c r="G4" s="12" t="s">
        <v>19</v>
      </c>
      <c r="H4" s="12" t="s">
        <v>20</v>
      </c>
      <c r="I4" s="12" t="s">
        <v>21</v>
      </c>
      <c r="J4" s="32"/>
      <c r="K4" s="32"/>
      <c r="L4" s="34"/>
    </row>
    <row r="5" ht="25" hidden="1" customHeight="1" spans="1:12">
      <c r="A5" s="10">
        <v>1</v>
      </c>
      <c r="B5" s="13" t="s">
        <v>366</v>
      </c>
      <c r="C5" s="14"/>
      <c r="D5" s="15"/>
      <c r="E5" s="15"/>
      <c r="F5" s="15"/>
      <c r="G5" s="15"/>
      <c r="H5" s="15"/>
      <c r="I5" s="15"/>
      <c r="J5" s="15"/>
      <c r="K5" s="15"/>
      <c r="L5" s="35"/>
    </row>
    <row r="6" ht="25" hidden="1" customHeight="1" spans="1:12">
      <c r="A6" s="10">
        <v>2</v>
      </c>
      <c r="B6" s="13" t="s">
        <v>367</v>
      </c>
      <c r="C6" s="14"/>
      <c r="D6" s="15"/>
      <c r="E6" s="15"/>
      <c r="F6" s="15"/>
      <c r="G6" s="15"/>
      <c r="H6" s="15"/>
      <c r="I6" s="15"/>
      <c r="J6" s="15"/>
      <c r="K6" s="15"/>
      <c r="L6" s="35"/>
    </row>
    <row r="7" ht="25" hidden="1" customHeight="1" spans="1:12">
      <c r="A7" s="10">
        <v>3</v>
      </c>
      <c r="B7" s="13" t="s">
        <v>368</v>
      </c>
      <c r="C7" s="14"/>
      <c r="D7" s="15"/>
      <c r="E7" s="15"/>
      <c r="F7" s="15"/>
      <c r="G7" s="15"/>
      <c r="H7" s="15"/>
      <c r="I7" s="15"/>
      <c r="J7" s="15"/>
      <c r="K7" s="15"/>
      <c r="L7" s="35"/>
    </row>
    <row r="8" ht="25" hidden="1" customHeight="1" spans="1:12">
      <c r="A8" s="10">
        <v>4</v>
      </c>
      <c r="B8" s="13" t="s">
        <v>369</v>
      </c>
      <c r="C8" s="14"/>
      <c r="D8" s="15"/>
      <c r="E8" s="15"/>
      <c r="F8" s="15"/>
      <c r="G8" s="15"/>
      <c r="H8" s="15"/>
      <c r="I8" s="15"/>
      <c r="J8" s="15"/>
      <c r="K8" s="15"/>
      <c r="L8" s="35"/>
    </row>
    <row r="9" ht="25" customHeight="1" spans="1:12">
      <c r="A9" s="10">
        <v>1</v>
      </c>
      <c r="B9" s="13" t="s">
        <v>370</v>
      </c>
      <c r="C9" s="14"/>
      <c r="D9" s="16">
        <f t="shared" ref="D9:I9" si="0">D10+D11</f>
        <v>60220.2880165818</v>
      </c>
      <c r="E9" s="16">
        <f t="shared" si="0"/>
        <v>5419.82592149236</v>
      </c>
      <c r="F9" s="16">
        <f t="shared" si="0"/>
        <v>65640.1139380741</v>
      </c>
      <c r="G9" s="16">
        <f>G11</f>
        <v>36635.5796976252</v>
      </c>
      <c r="H9" s="16">
        <f>H11</f>
        <v>3297.20217278627</v>
      </c>
      <c r="I9" s="16">
        <f>I11</f>
        <v>39932.7818704115</v>
      </c>
      <c r="J9" s="16"/>
      <c r="K9" s="16">
        <f>F9-I9</f>
        <v>25707.3320676626</v>
      </c>
      <c r="L9" s="35"/>
    </row>
    <row r="10" ht="25" hidden="1" customHeight="1" spans="1:12">
      <c r="A10" s="17">
        <v>-1</v>
      </c>
      <c r="B10" s="13" t="s">
        <v>371</v>
      </c>
      <c r="C10" s="14" t="s">
        <v>372</v>
      </c>
      <c r="D10" s="16"/>
      <c r="E10" s="16"/>
      <c r="F10" s="16"/>
      <c r="G10" s="16"/>
      <c r="H10" s="16"/>
      <c r="I10" s="16"/>
      <c r="J10" s="16"/>
      <c r="K10" s="16">
        <f t="shared" ref="K10:K20" si="1">F10-I10</f>
        <v>0</v>
      </c>
      <c r="L10" s="35"/>
    </row>
    <row r="11" ht="25" customHeight="1" spans="1:12">
      <c r="A11" s="18">
        <v>1.1</v>
      </c>
      <c r="B11" s="13" t="s">
        <v>373</v>
      </c>
      <c r="C11" s="14" t="s">
        <v>372</v>
      </c>
      <c r="D11" s="16">
        <f>'表二(451)'!D6*4.5%</f>
        <v>60220.2880165818</v>
      </c>
      <c r="E11" s="16">
        <f>D11*9%</f>
        <v>5419.82592149236</v>
      </c>
      <c r="F11" s="16">
        <f>D11+E11</f>
        <v>65640.1139380741</v>
      </c>
      <c r="G11" s="16">
        <f>表二!E5*90000/2000000*1*0.85*1*0.8</f>
        <v>36635.5796976252</v>
      </c>
      <c r="H11" s="16">
        <f>G11*9%</f>
        <v>3297.20217278627</v>
      </c>
      <c r="I11" s="16">
        <f>G11+H11</f>
        <v>39932.7818704115</v>
      </c>
      <c r="J11" s="16"/>
      <c r="K11" s="16">
        <f t="shared" si="1"/>
        <v>25707.3320676626</v>
      </c>
      <c r="L11" s="35"/>
    </row>
    <row r="12" ht="25" hidden="1" customHeight="1" spans="1:12">
      <c r="A12" s="10">
        <v>6</v>
      </c>
      <c r="B12" s="13" t="s">
        <v>374</v>
      </c>
      <c r="C12" s="14"/>
      <c r="D12" s="16"/>
      <c r="E12" s="16"/>
      <c r="F12" s="16"/>
      <c r="G12" s="16"/>
      <c r="H12" s="16"/>
      <c r="I12" s="16"/>
      <c r="J12" s="16"/>
      <c r="K12" s="16">
        <f t="shared" si="1"/>
        <v>0</v>
      </c>
      <c r="L12" s="35"/>
    </row>
    <row r="13" ht="25" hidden="1" customHeight="1" spans="1:12">
      <c r="A13" s="10">
        <v>7</v>
      </c>
      <c r="B13" s="13" t="s">
        <v>375</v>
      </c>
      <c r="C13" s="14" t="s">
        <v>376</v>
      </c>
      <c r="D13" s="16"/>
      <c r="E13" s="16"/>
      <c r="F13" s="16"/>
      <c r="G13" s="16"/>
      <c r="H13" s="16"/>
      <c r="I13" s="16"/>
      <c r="J13" s="16"/>
      <c r="K13" s="16">
        <f t="shared" si="1"/>
        <v>0</v>
      </c>
      <c r="L13" s="36"/>
    </row>
    <row r="14" ht="25" customHeight="1" spans="1:12">
      <c r="A14" s="10">
        <v>2</v>
      </c>
      <c r="B14" s="13" t="s">
        <v>377</v>
      </c>
      <c r="C14" s="14" t="s">
        <v>378</v>
      </c>
      <c r="D14" s="16">
        <f>'表二(451)'!D6*2%</f>
        <v>26764.5724518141</v>
      </c>
      <c r="E14" s="16">
        <f>D14*9%</f>
        <v>2408.81152066327</v>
      </c>
      <c r="F14" s="16">
        <f>D14+E14</f>
        <v>29173.3839724774</v>
      </c>
      <c r="G14" s="16">
        <f>表二!E5*0.02</f>
        <v>23944.8233317812</v>
      </c>
      <c r="H14" s="16">
        <f>G14*9%</f>
        <v>2155.0340998603</v>
      </c>
      <c r="I14" s="16">
        <f>G14+H14</f>
        <v>26099.8574316415</v>
      </c>
      <c r="J14" s="16"/>
      <c r="K14" s="16">
        <f>F14-I14-1</f>
        <v>3072.52654083593</v>
      </c>
      <c r="L14" s="36"/>
    </row>
    <row r="15" ht="25" hidden="1" customHeight="1" spans="1:12">
      <c r="A15" s="10">
        <v>9</v>
      </c>
      <c r="B15" s="13" t="s">
        <v>379</v>
      </c>
      <c r="C15" s="14"/>
      <c r="D15" s="16"/>
      <c r="E15" s="16"/>
      <c r="F15" s="16"/>
      <c r="G15" s="16"/>
      <c r="H15" s="16"/>
      <c r="I15" s="16"/>
      <c r="J15" s="16"/>
      <c r="K15" s="16">
        <f t="shared" si="1"/>
        <v>0</v>
      </c>
      <c r="L15" s="36"/>
    </row>
    <row r="16" ht="25" hidden="1" customHeight="1" spans="1:12">
      <c r="A16" s="10">
        <v>10</v>
      </c>
      <c r="B16" s="13" t="s">
        <v>380</v>
      </c>
      <c r="C16" s="14"/>
      <c r="D16" s="16"/>
      <c r="E16" s="16"/>
      <c r="F16" s="16"/>
      <c r="G16" s="16"/>
      <c r="H16" s="16"/>
      <c r="I16" s="16"/>
      <c r="J16" s="16"/>
      <c r="K16" s="16">
        <f t="shared" si="1"/>
        <v>0</v>
      </c>
      <c r="L16" s="36"/>
    </row>
    <row r="17" ht="25" hidden="1" customHeight="1" spans="1:12">
      <c r="A17" s="10">
        <v>11</v>
      </c>
      <c r="B17" s="13" t="s">
        <v>381</v>
      </c>
      <c r="C17" s="14"/>
      <c r="D17" s="16"/>
      <c r="E17" s="16"/>
      <c r="F17" s="16"/>
      <c r="G17" s="16"/>
      <c r="H17" s="16"/>
      <c r="I17" s="16"/>
      <c r="J17" s="16"/>
      <c r="K17" s="16">
        <f t="shared" si="1"/>
        <v>0</v>
      </c>
      <c r="L17" s="36"/>
    </row>
    <row r="18" ht="25" hidden="1" customHeight="1" spans="1:12">
      <c r="A18" s="10">
        <v>12</v>
      </c>
      <c r="B18" s="13" t="s">
        <v>382</v>
      </c>
      <c r="C18" s="14"/>
      <c r="D18" s="16"/>
      <c r="E18" s="16"/>
      <c r="F18" s="16"/>
      <c r="G18" s="16"/>
      <c r="H18" s="16"/>
      <c r="I18" s="16"/>
      <c r="J18" s="16"/>
      <c r="K18" s="16">
        <f t="shared" si="1"/>
        <v>0</v>
      </c>
      <c r="L18" s="36"/>
    </row>
    <row r="19" ht="25" hidden="1" customHeight="1" spans="1:12">
      <c r="A19" s="10">
        <v>13</v>
      </c>
      <c r="B19" s="13" t="s">
        <v>15</v>
      </c>
      <c r="C19" s="14"/>
      <c r="D19" s="16"/>
      <c r="E19" s="16"/>
      <c r="F19" s="16"/>
      <c r="G19" s="16"/>
      <c r="H19" s="16"/>
      <c r="I19" s="16"/>
      <c r="J19" s="16"/>
      <c r="K19" s="16">
        <f t="shared" si="1"/>
        <v>0</v>
      </c>
      <c r="L19" s="36"/>
    </row>
    <row r="20" ht="25" customHeight="1" spans="1:12">
      <c r="A20" s="10"/>
      <c r="B20" s="13" t="s">
        <v>383</v>
      </c>
      <c r="C20" s="14"/>
      <c r="D20" s="16">
        <f>D9+D14</f>
        <v>86984.8604683959</v>
      </c>
      <c r="E20" s="16">
        <f>E9+E14</f>
        <v>7828.63744215563</v>
      </c>
      <c r="F20" s="16">
        <f>F9+F14</f>
        <v>94813.4979105515</v>
      </c>
      <c r="G20" s="16">
        <f>G14+G9</f>
        <v>60580.4030294064</v>
      </c>
      <c r="H20" s="16">
        <f>H14+H9</f>
        <v>5452.23627264657</v>
      </c>
      <c r="I20" s="16">
        <f>I14+I9</f>
        <v>66032.639302053</v>
      </c>
      <c r="J20" s="16"/>
      <c r="K20" s="16">
        <f>F20-I20-1</f>
        <v>28779.8586084985</v>
      </c>
      <c r="L20" s="36"/>
    </row>
    <row r="21" spans="1:12">
      <c r="A21" s="19">
        <v>14</v>
      </c>
      <c r="B21" s="20" t="s">
        <v>384</v>
      </c>
      <c r="C21" s="21"/>
      <c r="D21" s="22"/>
      <c r="E21" s="22"/>
      <c r="F21" s="22"/>
      <c r="G21" s="22"/>
      <c r="H21" s="22"/>
      <c r="I21" s="22"/>
      <c r="J21" s="22"/>
      <c r="K21" s="22"/>
      <c r="L21" s="24"/>
    </row>
    <row r="22" spans="1:12">
      <c r="A22" s="19"/>
      <c r="B22" s="23"/>
      <c r="C22" s="21"/>
      <c r="D22" s="22"/>
      <c r="E22" s="22"/>
      <c r="F22" s="22"/>
      <c r="G22" s="22"/>
      <c r="H22" s="22"/>
      <c r="I22" s="22"/>
      <c r="J22" s="22"/>
      <c r="K22" s="22"/>
      <c r="L22" s="24"/>
    </row>
    <row r="23" spans="1:12">
      <c r="A23" s="19"/>
      <c r="B23" s="23"/>
      <c r="C23" s="21"/>
      <c r="D23" s="24"/>
      <c r="E23" s="24"/>
      <c r="F23" s="24"/>
      <c r="G23" s="24"/>
      <c r="H23" s="24"/>
      <c r="I23" s="24"/>
      <c r="J23" s="24"/>
      <c r="K23" s="24"/>
      <c r="L23" s="24"/>
    </row>
    <row r="24" spans="1:12">
      <c r="A24" s="19"/>
      <c r="B24" s="23"/>
      <c r="C24" s="21"/>
      <c r="D24" s="24"/>
      <c r="E24" s="24"/>
      <c r="F24" s="24"/>
      <c r="G24" s="24"/>
      <c r="H24" s="24"/>
      <c r="I24" s="24"/>
      <c r="J24" s="24"/>
      <c r="K24" s="24"/>
      <c r="L24" s="24"/>
    </row>
    <row r="25" spans="1:12">
      <c r="A25" s="19"/>
      <c r="B25" s="23"/>
      <c r="C25" s="21"/>
      <c r="D25" s="24"/>
      <c r="E25" s="24"/>
      <c r="F25" s="24"/>
      <c r="G25" s="24"/>
      <c r="H25" s="24"/>
      <c r="I25" s="24"/>
      <c r="J25" s="24"/>
      <c r="K25" s="24"/>
      <c r="L25" s="24"/>
    </row>
    <row r="26" spans="1:12">
      <c r="A26" s="19"/>
      <c r="B26" s="23"/>
      <c r="C26" s="21"/>
      <c r="D26" s="24"/>
      <c r="E26" s="24"/>
      <c r="F26" s="24"/>
      <c r="G26" s="24"/>
      <c r="H26" s="24"/>
      <c r="I26" s="24"/>
      <c r="J26" s="24"/>
      <c r="K26" s="24"/>
      <c r="L26" s="24"/>
    </row>
    <row r="27" spans="1:12">
      <c r="A27" s="19"/>
      <c r="B27" s="23"/>
      <c r="C27" s="21"/>
      <c r="D27" s="24"/>
      <c r="E27" s="24"/>
      <c r="F27" s="24"/>
      <c r="G27" s="24"/>
      <c r="H27" s="24"/>
      <c r="I27" s="24"/>
      <c r="J27" s="24"/>
      <c r="K27" s="24"/>
      <c r="L27" s="24"/>
    </row>
    <row r="28" spans="1:12">
      <c r="A28" s="19"/>
      <c r="B28" s="23"/>
      <c r="C28" s="21"/>
      <c r="D28" s="24"/>
      <c r="E28" s="24"/>
      <c r="F28" s="24"/>
      <c r="G28" s="24"/>
      <c r="H28" s="24"/>
      <c r="I28" s="24"/>
      <c r="J28" s="24"/>
      <c r="K28" s="24"/>
      <c r="L28" s="24"/>
    </row>
    <row r="29" spans="1:12">
      <c r="A29" s="25" t="s">
        <v>32</v>
      </c>
      <c r="B29" s="25"/>
      <c r="C29" s="26"/>
      <c r="D29" s="27"/>
      <c r="E29" s="27"/>
      <c r="F29" s="27"/>
      <c r="G29" s="27"/>
      <c r="H29" s="27"/>
      <c r="I29" s="27"/>
      <c r="J29" s="27"/>
      <c r="K29" s="27"/>
      <c r="L29" s="37" t="s">
        <v>33</v>
      </c>
    </row>
  </sheetData>
  <mergeCells count="12">
    <mergeCell ref="A1:K1"/>
    <mergeCell ref="A2:E2"/>
    <mergeCell ref="J2:K2"/>
    <mergeCell ref="O2:P2"/>
    <mergeCell ref="D3:F3"/>
    <mergeCell ref="G3:I3"/>
    <mergeCell ref="A3:A4"/>
    <mergeCell ref="B3:B4"/>
    <mergeCell ref="C3:C4"/>
    <mergeCell ref="J3:J4"/>
    <mergeCell ref="K3:K4"/>
    <mergeCell ref="L3:L4"/>
  </mergeCells>
  <printOptions horizontalCentered="1"/>
  <pageMargins left="0.393055555555556" right="0.393055555555556" top="0.590277777777778" bottom="0.393055555555556" header="0.5" footer="0.184722222222222"/>
  <pageSetup paperSize="9" scale="97" fitToHeight="0" orientation="landscape" horizontalDpi="600"/>
  <headerFooter>
    <oddFooter>&amp;C&amp;9第 &amp;P 页，共 &amp;N 页</oddFooter>
  </headerFooter>
  <ignoredErrors>
    <ignoredError sqref="J20 G15:J19 H14:J14 G12:J13 J11 G10:J10 J9" evalError="1" unlockedFormula="1"/>
    <ignoredError sqref="D15:F19 D12:F13 D9:F9 E20 D14:F14 D11:F11 D10:F1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D28"/>
  <sheetViews>
    <sheetView workbookViewId="0">
      <selection activeCell="B6" sqref="B6:B28"/>
    </sheetView>
  </sheetViews>
  <sheetFormatPr defaultColWidth="9" defaultRowHeight="13.5" outlineLevelCol="3"/>
  <cols>
    <col min="2" max="2" width="45.625" style="1" customWidth="1"/>
  </cols>
  <sheetData>
    <row r="5" spans="4:4">
      <c r="D5" s="2"/>
    </row>
    <row r="6" spans="1:2">
      <c r="A6">
        <v>1.1</v>
      </c>
      <c r="B6" s="1">
        <f>10+26+60+60+61+2+2+2+20+1*8</f>
        <v>251</v>
      </c>
    </row>
    <row r="7" spans="1:2">
      <c r="A7">
        <v>1.2</v>
      </c>
      <c r="B7" s="1">
        <f>35+60+60+60+41+35+3+3+3+3+8+3</f>
        <v>314</v>
      </c>
    </row>
    <row r="8" spans="1:2">
      <c r="A8">
        <v>2.1</v>
      </c>
      <c r="B8" s="1">
        <f>37+60+56+66+63+3+3+3+3+1*10</f>
        <v>304</v>
      </c>
    </row>
    <row r="9" spans="1:2">
      <c r="A9">
        <v>2.2</v>
      </c>
      <c r="B9" s="1">
        <f>11+19+60+60+62+20+2*3+1*8</f>
        <v>246</v>
      </c>
    </row>
    <row r="10" spans="1:2">
      <c r="A10">
        <v>3.1</v>
      </c>
      <c r="B10" s="1">
        <f>38+60*4+3*4+8+40+3+2</f>
        <v>343</v>
      </c>
    </row>
    <row r="11" spans="1:2">
      <c r="A11">
        <v>3.2</v>
      </c>
      <c r="B11" s="1">
        <f>1+9+36+61+60+52+20+4+2+2+2+10</f>
        <v>259</v>
      </c>
    </row>
    <row r="12" spans="1:2">
      <c r="A12">
        <v>4.1</v>
      </c>
      <c r="B12" s="1">
        <f>20+60+60+25+16+62+2*3+10+2+1*6+5+4+1+1+1+1</f>
        <v>280</v>
      </c>
    </row>
    <row r="13" spans="1:2">
      <c r="A13">
        <v>4.2</v>
      </c>
      <c r="B13" s="1">
        <f>2+19+60+60+24+17+62+12+2+2+2+10+2+1*6+4+5+4</f>
        <v>293</v>
      </c>
    </row>
    <row r="14" spans="1:2">
      <c r="A14">
        <v>5.1</v>
      </c>
      <c r="B14" s="1">
        <f>5+60*3+10+53+2+2+2+2+12+10</f>
        <v>278</v>
      </c>
    </row>
    <row r="15" spans="1:2">
      <c r="A15">
        <v>5.2</v>
      </c>
      <c r="B15" s="1">
        <f>3+57+60+60+27+34+62+1+2+2+2+2+3+4+6+1*6+8+13+4</f>
        <v>356</v>
      </c>
    </row>
    <row r="16" spans="1:2">
      <c r="A16">
        <v>6.1</v>
      </c>
      <c r="B16" s="1">
        <f>45+61+40+21+60+60+2*5+8+26+1+1+1</f>
        <v>334</v>
      </c>
    </row>
    <row r="17" spans="1:2">
      <c r="A17">
        <v>6.2</v>
      </c>
      <c r="B17" s="1">
        <f>2+44+9+60+42+1+4+5+7+4+1+4+6+9+1+2+2+43+2+2+1+2+2+2+2+2</f>
        <v>261</v>
      </c>
    </row>
    <row r="18" spans="1:2">
      <c r="A18">
        <v>7.1</v>
      </c>
      <c r="B18" s="1">
        <f>2+8+56+61+60+1+7+2+2+2+9+2+2*8+27</f>
        <v>255</v>
      </c>
    </row>
    <row r="19" spans="1:2">
      <c r="A19">
        <v>7.2</v>
      </c>
      <c r="B19" s="1">
        <f>66+60+60+60+63+2+2+2*4+1+8+1+2+2+2*3+2*2</f>
        <v>345</v>
      </c>
    </row>
    <row r="20" spans="1:2">
      <c r="A20">
        <v>8.1</v>
      </c>
      <c r="B20" s="1">
        <f>2+45+60+60+60+17+8+14+3+2+3+3+3+18+2*10+1+4+5</f>
        <v>328</v>
      </c>
    </row>
    <row r="21" spans="1:2">
      <c r="A21">
        <v>8.2</v>
      </c>
      <c r="B21" s="1">
        <f>24+60+60+56+8+59+2*4+2*8+10+2+2</f>
        <v>305</v>
      </c>
    </row>
    <row r="22" spans="1:2">
      <c r="A22">
        <v>9.1</v>
      </c>
      <c r="B22" s="1">
        <f>6+44+61+60+60+63+1+3+3+3+3+7+2+2*10</f>
        <v>336</v>
      </c>
    </row>
    <row r="23" spans="1:2">
      <c r="A23">
        <v>9.2</v>
      </c>
      <c r="B23" s="1">
        <f>43+60+60+40+63+2+3+3+3+2*10</f>
        <v>297</v>
      </c>
    </row>
    <row r="24" spans="1:2">
      <c r="A24">
        <v>10.1</v>
      </c>
      <c r="B24" s="1">
        <f>3+27+60+40+60+45+4+2+3+3+3+3+2*8+13+2+2</f>
        <v>286</v>
      </c>
    </row>
    <row r="25" spans="1:2">
      <c r="A25">
        <v>10.2</v>
      </c>
      <c r="B25" s="1">
        <f>42+60+61+63+3*3+2*6+63+2*2</f>
        <v>314</v>
      </c>
    </row>
    <row r="26" spans="1:2">
      <c r="A26">
        <v>11.1</v>
      </c>
      <c r="B26" s="1">
        <f>45+63+54+59+63+2+2+3+2*6+1+8+1+3+2*2+4+17+14+3+2+2+2+2</f>
        <v>366</v>
      </c>
    </row>
    <row r="27" spans="1:2">
      <c r="A27">
        <v>11.2</v>
      </c>
      <c r="B27" s="1">
        <f>2+24+58+44+63+1+6+5+3+4+1+9+2+2+2+3+4+4</f>
        <v>237</v>
      </c>
    </row>
    <row r="28" spans="1:2">
      <c r="A28">
        <v>12.1</v>
      </c>
      <c r="B28" s="1">
        <f>8+8+40+22+22+33+27+3+26+2+2+2+2+2+3+8+2+2+2+10+2</f>
        <v>228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view="pageBreakPreview" zoomScale="90" zoomScaleNormal="100" workbookViewId="0">
      <selection activeCell="A1" sqref="$A1:$XFD1048576"/>
    </sheetView>
  </sheetViews>
  <sheetFormatPr defaultColWidth="9" defaultRowHeight="13.5"/>
  <cols>
    <col min="1" max="1" width="8.90833333333333" style="269" customWidth="1"/>
    <col min="2" max="2" width="24.0916666666667" style="269" customWidth="1"/>
    <col min="3" max="3" width="22.6416666666667" style="269" customWidth="1"/>
    <col min="4" max="4" width="11.7333333333333" style="269" customWidth="1"/>
    <col min="5" max="5" width="8.90833333333333" style="269" customWidth="1"/>
    <col min="6" max="6" width="24.0916666666667" style="269" customWidth="1"/>
    <col min="7" max="7" width="22.6416666666667" style="269" customWidth="1"/>
    <col min="8" max="8" width="11.7333333333333" style="269" customWidth="1"/>
    <col min="9" max="16384" width="9" style="269"/>
  </cols>
  <sheetData>
    <row r="1" s="176" customFormat="1" ht="33" customHeight="1" spans="1:8">
      <c r="A1" s="207" t="s">
        <v>34</v>
      </c>
      <c r="B1" s="207"/>
      <c r="C1" s="207"/>
      <c r="D1" s="207"/>
      <c r="E1" s="207"/>
      <c r="F1" s="207"/>
      <c r="G1" s="207"/>
      <c r="H1" s="207"/>
    </row>
    <row r="2" s="176" customFormat="1" ht="21" customHeight="1" spans="1:8">
      <c r="A2" s="204" t="str">
        <f>表一!A2</f>
        <v>工程名称：杭州钱塘区下沙街道开发区电力隧道（一期二标）信号覆盖建设工程</v>
      </c>
      <c r="B2" s="204"/>
      <c r="C2" s="204"/>
      <c r="D2" s="206"/>
      <c r="E2" s="204"/>
      <c r="F2" s="209"/>
      <c r="G2" s="209"/>
      <c r="H2" s="223" t="s">
        <v>35</v>
      </c>
    </row>
    <row r="3" s="176" customFormat="1" ht="15" customHeight="1" spans="1:8">
      <c r="A3" s="105" t="s">
        <v>4</v>
      </c>
      <c r="B3" s="219" t="s">
        <v>6</v>
      </c>
      <c r="C3" s="219" t="s">
        <v>36</v>
      </c>
      <c r="D3" s="105" t="s">
        <v>37</v>
      </c>
      <c r="E3" s="105" t="s">
        <v>4</v>
      </c>
      <c r="F3" s="219" t="s">
        <v>6</v>
      </c>
      <c r="G3" s="219" t="s">
        <v>36</v>
      </c>
      <c r="H3" s="105" t="s">
        <v>37</v>
      </c>
    </row>
    <row r="4" s="205" customFormat="1" ht="15" customHeight="1" spans="1:9">
      <c r="A4" s="215" t="s">
        <v>38</v>
      </c>
      <c r="B4" s="215" t="s">
        <v>39</v>
      </c>
      <c r="C4" s="215" t="s">
        <v>40</v>
      </c>
      <c r="D4" s="290" t="s">
        <v>41</v>
      </c>
      <c r="E4" s="291" t="s">
        <v>38</v>
      </c>
      <c r="F4" s="215" t="s">
        <v>39</v>
      </c>
      <c r="G4" s="215" t="s">
        <v>40</v>
      </c>
      <c r="H4" s="290" t="s">
        <v>41</v>
      </c>
      <c r="I4" s="176"/>
    </row>
    <row r="5" s="176" customFormat="1" ht="15" customHeight="1" spans="1:10">
      <c r="A5" s="105"/>
      <c r="B5" s="292" t="s">
        <v>42</v>
      </c>
      <c r="C5" s="293" t="s">
        <v>43</v>
      </c>
      <c r="D5" s="294">
        <v>1458669.19862387</v>
      </c>
      <c r="E5" s="295">
        <v>14</v>
      </c>
      <c r="F5" s="289" t="s">
        <v>44</v>
      </c>
      <c r="G5" s="289"/>
      <c r="H5" s="296"/>
      <c r="J5" s="303"/>
    </row>
    <row r="6" s="176" customFormat="1" ht="15" customHeight="1" spans="1:8">
      <c r="A6" s="105"/>
      <c r="B6" s="292" t="s">
        <v>45</v>
      </c>
      <c r="C6" s="293" t="s">
        <v>46</v>
      </c>
      <c r="D6" s="294">
        <v>1338228.62259071</v>
      </c>
      <c r="E6" s="295">
        <v>15</v>
      </c>
      <c r="F6" s="289" t="s">
        <v>47</v>
      </c>
      <c r="G6" s="289" t="s">
        <v>30</v>
      </c>
      <c r="H6" s="218"/>
    </row>
    <row r="7" s="176" customFormat="1" ht="15" customHeight="1" spans="1:8">
      <c r="A7" s="105" t="s">
        <v>48</v>
      </c>
      <c r="B7" s="292" t="s">
        <v>49</v>
      </c>
      <c r="C7" s="218" t="s">
        <v>50</v>
      </c>
      <c r="D7" s="294">
        <v>995870.071465138</v>
      </c>
      <c r="E7" s="295" t="s">
        <v>51</v>
      </c>
      <c r="F7" s="289" t="s">
        <v>52</v>
      </c>
      <c r="G7" s="289" t="s">
        <v>50</v>
      </c>
      <c r="H7" s="296">
        <v>257919.396821568</v>
      </c>
    </row>
    <row r="8" s="176" customFormat="1" ht="15" customHeight="1" spans="1:8">
      <c r="A8" s="105" t="s">
        <v>53</v>
      </c>
      <c r="B8" s="217" t="s">
        <v>54</v>
      </c>
      <c r="C8" s="218" t="s">
        <v>55</v>
      </c>
      <c r="D8" s="294">
        <v>892854.303214258</v>
      </c>
      <c r="E8" s="295" t="s">
        <v>53</v>
      </c>
      <c r="F8" s="289" t="s">
        <v>56</v>
      </c>
      <c r="G8" s="289" t="s">
        <v>55</v>
      </c>
      <c r="H8" s="294">
        <v>142237.755425088</v>
      </c>
    </row>
    <row r="9" s="176" customFormat="1" ht="15" customHeight="1" spans="1:9">
      <c r="A9" s="105">
        <v>1</v>
      </c>
      <c r="B9" s="217" t="s">
        <v>57</v>
      </c>
      <c r="C9" s="218" t="s">
        <v>58</v>
      </c>
      <c r="D9" s="294">
        <v>422195.77152</v>
      </c>
      <c r="E9" s="295">
        <v>1</v>
      </c>
      <c r="F9" s="289" t="s">
        <v>59</v>
      </c>
      <c r="G9" s="289"/>
      <c r="H9" s="218"/>
      <c r="I9" s="304"/>
    </row>
    <row r="10" s="176" customFormat="1" ht="15" customHeight="1" spans="1:8">
      <c r="A10" s="297">
        <v>-1</v>
      </c>
      <c r="B10" s="217" t="s">
        <v>60</v>
      </c>
      <c r="C10" s="222" t="s">
        <v>61</v>
      </c>
      <c r="D10" s="294">
        <v>422195.77152</v>
      </c>
      <c r="E10" s="295">
        <v>2</v>
      </c>
      <c r="F10" s="289" t="s">
        <v>62</v>
      </c>
      <c r="G10" s="289" t="s">
        <v>63</v>
      </c>
      <c r="H10" s="294">
        <v>120325.7948832</v>
      </c>
    </row>
    <row r="11" s="176" customFormat="1" ht="15" customHeight="1" spans="1:8">
      <c r="A11" s="297">
        <v>-2</v>
      </c>
      <c r="B11" s="217" t="s">
        <v>64</v>
      </c>
      <c r="C11" s="218" t="s">
        <v>65</v>
      </c>
      <c r="D11" s="105"/>
      <c r="E11" s="295">
        <v>3</v>
      </c>
      <c r="F11" s="289" t="s">
        <v>66</v>
      </c>
      <c r="G11" s="289" t="s">
        <v>67</v>
      </c>
      <c r="H11" s="294">
        <v>17690.002826688</v>
      </c>
    </row>
    <row r="12" s="176" customFormat="1" ht="15" customHeight="1" spans="1:8">
      <c r="A12" s="105">
        <v>2</v>
      </c>
      <c r="B12" s="217" t="s">
        <v>68</v>
      </c>
      <c r="C12" s="218" t="s">
        <v>69</v>
      </c>
      <c r="D12" s="294">
        <v>398007.911694258</v>
      </c>
      <c r="E12" s="295">
        <v>4</v>
      </c>
      <c r="F12" s="289" t="s">
        <v>70</v>
      </c>
      <c r="G12" s="289" t="s">
        <v>71</v>
      </c>
      <c r="H12" s="294">
        <v>4221.9577152</v>
      </c>
    </row>
    <row r="13" s="176" customFormat="1" ht="15" customHeight="1" spans="1:10">
      <c r="A13" s="297">
        <v>-1</v>
      </c>
      <c r="B13" s="292" t="s">
        <v>72</v>
      </c>
      <c r="C13" s="222" t="s">
        <v>73</v>
      </c>
      <c r="D13" s="298">
        <v>386415.448246853</v>
      </c>
      <c r="E13" s="295" t="s">
        <v>74</v>
      </c>
      <c r="F13" s="289" t="s">
        <v>75</v>
      </c>
      <c r="G13" s="289" t="s">
        <v>76</v>
      </c>
      <c r="H13" s="294">
        <v>115681.64139648</v>
      </c>
      <c r="J13" s="303"/>
    </row>
    <row r="14" s="176" customFormat="1" ht="15" customHeight="1" spans="1:11">
      <c r="A14" s="297">
        <v>-2</v>
      </c>
      <c r="B14" s="217" t="s">
        <v>77</v>
      </c>
      <c r="C14" s="218" t="s">
        <v>78</v>
      </c>
      <c r="D14" s="294">
        <v>11592.4634474056</v>
      </c>
      <c r="E14" s="295" t="s">
        <v>79</v>
      </c>
      <c r="F14" s="289" t="s">
        <v>80</v>
      </c>
      <c r="G14" s="289" t="s">
        <v>81</v>
      </c>
      <c r="H14" s="294">
        <v>84439.154304</v>
      </c>
      <c r="J14" s="303"/>
      <c r="K14" s="304"/>
    </row>
    <row r="15" s="176" customFormat="1" ht="15" customHeight="1" spans="1:9">
      <c r="A15" s="105">
        <v>3</v>
      </c>
      <c r="B15" s="217" t="s">
        <v>82</v>
      </c>
      <c r="C15" s="218" t="s">
        <v>83</v>
      </c>
      <c r="D15" s="298">
        <v>5806.08</v>
      </c>
      <c r="E15" s="295" t="s">
        <v>84</v>
      </c>
      <c r="F15" s="289" t="s">
        <v>85</v>
      </c>
      <c r="G15" s="299" t="s">
        <v>86</v>
      </c>
      <c r="H15" s="294">
        <v>120440.576033164</v>
      </c>
      <c r="I15" s="304"/>
    </row>
    <row r="16" s="176" customFormat="1" ht="15" customHeight="1" spans="1:11">
      <c r="A16" s="105">
        <v>4</v>
      </c>
      <c r="B16" s="217" t="s">
        <v>87</v>
      </c>
      <c r="C16" s="218" t="s">
        <v>88</v>
      </c>
      <c r="D16" s="298">
        <v>66844.54</v>
      </c>
      <c r="E16" s="295"/>
      <c r="F16" s="289"/>
      <c r="G16" s="300"/>
      <c r="H16" s="294"/>
      <c r="I16" s="304"/>
      <c r="J16" s="304"/>
      <c r="K16" s="304"/>
    </row>
    <row r="17" s="176" customFormat="1" ht="15" customHeight="1" spans="1:9">
      <c r="A17" s="105" t="s">
        <v>74</v>
      </c>
      <c r="B17" s="292" t="s">
        <v>89</v>
      </c>
      <c r="C17" s="301" t="s">
        <v>90</v>
      </c>
      <c r="D17" s="294">
        <v>103015.76825088</v>
      </c>
      <c r="E17" s="295"/>
      <c r="F17" s="289"/>
      <c r="G17" s="300"/>
      <c r="H17" s="294"/>
      <c r="I17" s="304"/>
    </row>
    <row r="18" s="176" customFormat="1" ht="15" customHeight="1" spans="1:8">
      <c r="A18" s="105">
        <v>1</v>
      </c>
      <c r="B18" s="217" t="s">
        <v>91</v>
      </c>
      <c r="C18" s="218" t="s">
        <v>92</v>
      </c>
      <c r="D18" s="294">
        <v>4644.15348672</v>
      </c>
      <c r="E18" s="295"/>
      <c r="F18" s="289"/>
      <c r="G18" s="302"/>
      <c r="H18" s="294"/>
    </row>
    <row r="19" s="176" customFormat="1" ht="15" customHeight="1" spans="1:8">
      <c r="A19" s="105">
        <v>2</v>
      </c>
      <c r="B19" s="217" t="s">
        <v>93</v>
      </c>
      <c r="C19" s="218" t="s">
        <v>92</v>
      </c>
      <c r="D19" s="294">
        <v>4644.15348672</v>
      </c>
      <c r="E19" s="295"/>
      <c r="F19" s="289"/>
      <c r="G19" s="289"/>
      <c r="H19" s="218"/>
    </row>
    <row r="20" s="176" customFormat="1" ht="15" customHeight="1" spans="1:8">
      <c r="A20" s="105">
        <v>3</v>
      </c>
      <c r="B20" s="217" t="s">
        <v>94</v>
      </c>
      <c r="C20" s="218" t="s">
        <v>95</v>
      </c>
      <c r="D20" s="294">
        <v>16887.8308608</v>
      </c>
      <c r="E20" s="295"/>
      <c r="F20" s="289"/>
      <c r="G20" s="289"/>
      <c r="H20" s="218"/>
    </row>
    <row r="21" s="176" customFormat="1" ht="15" customHeight="1" spans="1:8">
      <c r="A21" s="105">
        <v>4</v>
      </c>
      <c r="B21" s="217" t="s">
        <v>96</v>
      </c>
      <c r="C21" s="218" t="s">
        <v>97</v>
      </c>
      <c r="D21" s="294">
        <v>10554.894288</v>
      </c>
      <c r="E21" s="295"/>
      <c r="F21" s="289"/>
      <c r="G21" s="289"/>
      <c r="H21" s="218"/>
    </row>
    <row r="22" s="176" customFormat="1" ht="15" customHeight="1" spans="1:8">
      <c r="A22" s="105">
        <v>5</v>
      </c>
      <c r="B22" s="217" t="s">
        <v>98</v>
      </c>
      <c r="C22" s="218" t="s">
        <v>99</v>
      </c>
      <c r="D22" s="294">
        <v>16043.43931776</v>
      </c>
      <c r="E22" s="295"/>
      <c r="F22" s="289"/>
      <c r="G22" s="289"/>
      <c r="H22" s="218"/>
    </row>
    <row r="23" s="176" customFormat="1" ht="15" customHeight="1" spans="1:8">
      <c r="A23" s="105">
        <v>6</v>
      </c>
      <c r="B23" s="217" t="s">
        <v>100</v>
      </c>
      <c r="C23" s="218" t="s">
        <v>101</v>
      </c>
      <c r="D23" s="294">
        <v>21109.788576</v>
      </c>
      <c r="E23" s="295"/>
      <c r="F23" s="289"/>
      <c r="G23" s="289"/>
      <c r="H23" s="218"/>
    </row>
    <row r="24" s="176" customFormat="1" ht="15" customHeight="1" spans="1:8">
      <c r="A24" s="105">
        <v>7</v>
      </c>
      <c r="B24" s="217" t="s">
        <v>102</v>
      </c>
      <c r="C24" s="218" t="s">
        <v>103</v>
      </c>
      <c r="D24" s="294">
        <v>8866.11120192</v>
      </c>
      <c r="E24" s="295"/>
      <c r="F24" s="289"/>
      <c r="G24" s="289"/>
      <c r="H24" s="218"/>
    </row>
    <row r="25" s="176" customFormat="1" ht="15" customHeight="1" spans="1:8">
      <c r="A25" s="105">
        <v>8</v>
      </c>
      <c r="B25" s="217" t="s">
        <v>104</v>
      </c>
      <c r="C25" s="218" t="s">
        <v>105</v>
      </c>
      <c r="D25" s="294">
        <v>10554.894288</v>
      </c>
      <c r="E25" s="295"/>
      <c r="F25" s="289"/>
      <c r="G25" s="289"/>
      <c r="H25" s="218"/>
    </row>
    <row r="26" s="176" customFormat="1" ht="15" customHeight="1" spans="1:8">
      <c r="A26" s="105">
        <v>9</v>
      </c>
      <c r="B26" s="217" t="s">
        <v>106</v>
      </c>
      <c r="C26" s="218" t="s">
        <v>107</v>
      </c>
      <c r="D26" s="294">
        <v>3377.56617216</v>
      </c>
      <c r="E26" s="295"/>
      <c r="F26" s="289"/>
      <c r="G26" s="289"/>
      <c r="H26" s="218"/>
    </row>
    <row r="27" s="176" customFormat="1" ht="15" customHeight="1" spans="1:8">
      <c r="A27" s="105">
        <v>10</v>
      </c>
      <c r="B27" s="217" t="s">
        <v>108</v>
      </c>
      <c r="C27" s="218"/>
      <c r="D27" s="294"/>
      <c r="E27" s="295"/>
      <c r="F27" s="289"/>
      <c r="G27" s="289"/>
      <c r="H27" s="218"/>
    </row>
    <row r="28" s="176" customFormat="1" ht="15" customHeight="1" spans="1:8">
      <c r="A28" s="105">
        <v>11</v>
      </c>
      <c r="B28" s="217" t="s">
        <v>109</v>
      </c>
      <c r="C28" s="218"/>
      <c r="D28" s="294"/>
      <c r="E28" s="295"/>
      <c r="F28" s="289"/>
      <c r="G28" s="289"/>
      <c r="H28" s="218"/>
    </row>
    <row r="29" s="176" customFormat="1" ht="15" customHeight="1" spans="1:8">
      <c r="A29" s="105">
        <v>12</v>
      </c>
      <c r="B29" s="217" t="s">
        <v>110</v>
      </c>
      <c r="C29" s="218" t="s">
        <v>111</v>
      </c>
      <c r="D29" s="294">
        <v>6332.9365728</v>
      </c>
      <c r="E29" s="295"/>
      <c r="F29" s="289"/>
      <c r="G29" s="289"/>
      <c r="H29" s="218"/>
    </row>
    <row r="30" s="176" customFormat="1" ht="15" customHeight="1" spans="1:8">
      <c r="A30" s="105">
        <v>13</v>
      </c>
      <c r="B30" s="217" t="s">
        <v>112</v>
      </c>
      <c r="C30" s="218"/>
      <c r="D30" s="294"/>
      <c r="E30" s="295"/>
      <c r="F30" s="289"/>
      <c r="G30" s="289"/>
      <c r="H30" s="218"/>
    </row>
    <row r="31" s="176" customFormat="1" ht="15" customHeight="1" spans="1:8">
      <c r="A31" s="189" t="s">
        <v>32</v>
      </c>
      <c r="B31" s="189"/>
      <c r="D31" s="177"/>
      <c r="E31" s="177"/>
      <c r="F31" s="178"/>
      <c r="G31" s="178"/>
      <c r="H31" s="225" t="s">
        <v>113</v>
      </c>
    </row>
  </sheetData>
  <sheetProtection password="CEAA" sheet="1"/>
  <mergeCells count="2">
    <mergeCell ref="A1:H1"/>
    <mergeCell ref="G15:G18"/>
  </mergeCells>
  <pageMargins left="0.7" right="0.7" top="0.75" bottom="0.75" header="0.3" footer="0.3"/>
  <pageSetup paperSize="9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showZeros="0" view="pageBreakPreview" zoomScaleNormal="90" topLeftCell="B1" workbookViewId="0">
      <selection activeCell="F11" sqref="F11"/>
    </sheetView>
  </sheetViews>
  <sheetFormatPr defaultColWidth="9" defaultRowHeight="12.75"/>
  <cols>
    <col min="1" max="1" width="3.35833333333333" style="177" hidden="1" customWidth="1"/>
    <col min="2" max="2" width="6.44166666666667" style="176" customWidth="1"/>
    <col min="3" max="3" width="11.0916666666667" style="176" customWidth="1"/>
    <col min="4" max="4" width="68.7333333333333" style="176" customWidth="1"/>
    <col min="5" max="5" width="9" style="177"/>
    <col min="6" max="6" width="9" style="176"/>
    <col min="7" max="8" width="8.64166666666667" style="178" customWidth="1"/>
    <col min="9" max="9" width="11" style="178" customWidth="1"/>
    <col min="10" max="11" width="9" style="176" customWidth="1"/>
    <col min="12" max="16384" width="9" style="176"/>
  </cols>
  <sheetData>
    <row r="1" ht="33" customHeight="1" spans="2:10">
      <c r="B1" s="207" t="s">
        <v>114</v>
      </c>
      <c r="C1" s="207"/>
      <c r="D1" s="207"/>
      <c r="E1" s="207"/>
      <c r="F1" s="207"/>
      <c r="G1" s="207"/>
      <c r="H1" s="207"/>
      <c r="I1" s="207"/>
      <c r="J1" s="207"/>
    </row>
    <row r="2" ht="24" customHeight="1" spans="2:10">
      <c r="B2" s="204" t="str">
        <f>表一!A2</f>
        <v>工程名称：杭州钱塘区下沙街道开发区电力隧道（一期二标）信号覆盖建设工程</v>
      </c>
      <c r="C2" s="204"/>
      <c r="D2" s="204"/>
      <c r="E2" s="206"/>
      <c r="G2" s="209"/>
      <c r="H2" s="209"/>
      <c r="I2" s="209"/>
      <c r="J2" s="223" t="s">
        <v>115</v>
      </c>
    </row>
    <row r="3" ht="18" customHeight="1" spans="2:10">
      <c r="B3" s="105" t="s">
        <v>4</v>
      </c>
      <c r="C3" s="105" t="s">
        <v>116</v>
      </c>
      <c r="D3" s="105" t="s">
        <v>117</v>
      </c>
      <c r="E3" s="105" t="s">
        <v>118</v>
      </c>
      <c r="F3" s="105" t="s">
        <v>119</v>
      </c>
      <c r="G3" s="211" t="s">
        <v>120</v>
      </c>
      <c r="H3" s="211"/>
      <c r="I3" s="105" t="s">
        <v>121</v>
      </c>
      <c r="J3" s="105"/>
    </row>
    <row r="4" ht="18" customHeight="1" spans="2:10">
      <c r="B4" s="105"/>
      <c r="C4" s="105"/>
      <c r="D4" s="105"/>
      <c r="E4" s="105"/>
      <c r="F4" s="105"/>
      <c r="G4" s="211" t="s">
        <v>122</v>
      </c>
      <c r="H4" s="211" t="s">
        <v>123</v>
      </c>
      <c r="I4" s="211" t="s">
        <v>122</v>
      </c>
      <c r="J4" s="105" t="s">
        <v>123</v>
      </c>
    </row>
    <row r="5" s="205" customFormat="1" ht="18" customHeight="1" spans="1:10">
      <c r="A5" s="214"/>
      <c r="B5" s="287" t="s">
        <v>38</v>
      </c>
      <c r="C5" s="287" t="s">
        <v>39</v>
      </c>
      <c r="D5" s="287" t="s">
        <v>40</v>
      </c>
      <c r="E5" s="287" t="s">
        <v>41</v>
      </c>
      <c r="F5" s="287" t="s">
        <v>124</v>
      </c>
      <c r="G5" s="288" t="s">
        <v>125</v>
      </c>
      <c r="H5" s="288" t="s">
        <v>126</v>
      </c>
      <c r="I5" s="288" t="s">
        <v>127</v>
      </c>
      <c r="J5" s="287" t="s">
        <v>128</v>
      </c>
    </row>
    <row r="6" ht="15.75" customHeight="1" spans="1:10">
      <c r="A6" s="177">
        <v>1</v>
      </c>
      <c r="B6" s="105">
        <v>1</v>
      </c>
      <c r="C6" s="217" t="s">
        <v>129</v>
      </c>
      <c r="D6" s="218" t="s">
        <v>130</v>
      </c>
      <c r="E6" s="105" t="s">
        <v>131</v>
      </c>
      <c r="F6" s="105">
        <v>0</v>
      </c>
      <c r="G6" s="289">
        <v>0.69</v>
      </c>
      <c r="H6" s="289"/>
      <c r="I6" s="289">
        <f>F6*G6</f>
        <v>0</v>
      </c>
      <c r="J6" s="218"/>
    </row>
    <row r="7" ht="15.75" customHeight="1" spans="1:10">
      <c r="A7" s="177">
        <v>2</v>
      </c>
      <c r="B7" s="105">
        <v>2</v>
      </c>
      <c r="C7" s="217" t="s">
        <v>132</v>
      </c>
      <c r="D7" s="218" t="s">
        <v>133</v>
      </c>
      <c r="E7" s="105" t="s">
        <v>134</v>
      </c>
      <c r="F7" s="105">
        <v>215</v>
      </c>
      <c r="G7" s="289">
        <v>0.17</v>
      </c>
      <c r="H7" s="289"/>
      <c r="I7" s="289">
        <f t="shared" ref="I7:I28" si="0">F7*G7</f>
        <v>36.55</v>
      </c>
      <c r="J7" s="218"/>
    </row>
    <row r="8" ht="15.75" customHeight="1" spans="1:10">
      <c r="A8" s="177">
        <v>3</v>
      </c>
      <c r="B8" s="105">
        <v>3</v>
      </c>
      <c r="C8" s="217" t="s">
        <v>135</v>
      </c>
      <c r="D8" s="218" t="s">
        <v>136</v>
      </c>
      <c r="E8" s="105" t="s">
        <v>131</v>
      </c>
      <c r="F8" s="105">
        <v>24</v>
      </c>
      <c r="G8" s="289">
        <v>0.63</v>
      </c>
      <c r="H8" s="289"/>
      <c r="I8" s="289">
        <f t="shared" si="0"/>
        <v>15.12</v>
      </c>
      <c r="J8" s="218"/>
    </row>
    <row r="9" ht="15.75" customHeight="1" spans="1:10">
      <c r="A9" s="177">
        <v>4</v>
      </c>
      <c r="B9" s="105">
        <v>4</v>
      </c>
      <c r="C9" s="217" t="s">
        <v>137</v>
      </c>
      <c r="D9" s="218" t="s">
        <v>138</v>
      </c>
      <c r="E9" s="105" t="s">
        <v>139</v>
      </c>
      <c r="F9" s="105">
        <f>'表四甲 主设备'!E13</f>
        <v>104</v>
      </c>
      <c r="G9" s="289">
        <v>0.29</v>
      </c>
      <c r="H9" s="289"/>
      <c r="I9" s="289">
        <f t="shared" si="0"/>
        <v>30.16</v>
      </c>
      <c r="J9" s="218"/>
    </row>
    <row r="10" ht="15.75" customHeight="1" spans="1:10">
      <c r="A10" s="177">
        <v>5</v>
      </c>
      <c r="B10" s="105">
        <v>5</v>
      </c>
      <c r="C10" s="217" t="s">
        <v>140</v>
      </c>
      <c r="D10" s="218" t="s">
        <v>141</v>
      </c>
      <c r="E10" s="105" t="s">
        <v>142</v>
      </c>
      <c r="F10" s="105">
        <f>'表四甲 材料表'!E17</f>
        <v>10500</v>
      </c>
      <c r="G10" s="289">
        <v>0.04</v>
      </c>
      <c r="H10" s="289"/>
      <c r="I10" s="289">
        <f t="shared" si="0"/>
        <v>420</v>
      </c>
      <c r="J10" s="218"/>
    </row>
    <row r="11" ht="15.75" customHeight="1" spans="1:10">
      <c r="A11" s="177">
        <v>6</v>
      </c>
      <c r="B11" s="105">
        <v>6</v>
      </c>
      <c r="C11" s="217" t="s">
        <v>143</v>
      </c>
      <c r="D11" s="218" t="s">
        <v>144</v>
      </c>
      <c r="E11" s="105" t="s">
        <v>145</v>
      </c>
      <c r="F11" s="105">
        <f>'表四甲 材料表'!E18</f>
        <v>1344</v>
      </c>
      <c r="G11" s="289">
        <v>0.15</v>
      </c>
      <c r="H11" s="289"/>
      <c r="I11" s="289">
        <f t="shared" si="0"/>
        <v>201.6</v>
      </c>
      <c r="J11" s="218"/>
    </row>
    <row r="12" ht="15.75" customHeight="1" spans="1:10">
      <c r="A12" s="177">
        <v>7</v>
      </c>
      <c r="B12" s="105">
        <v>7</v>
      </c>
      <c r="C12" s="217" t="s">
        <v>146</v>
      </c>
      <c r="D12" s="218" t="s">
        <v>147</v>
      </c>
      <c r="E12" s="105" t="s">
        <v>148</v>
      </c>
      <c r="F12" s="105">
        <v>120</v>
      </c>
      <c r="G12" s="289">
        <v>0.15</v>
      </c>
      <c r="H12" s="289"/>
      <c r="I12" s="289">
        <f t="shared" si="0"/>
        <v>18</v>
      </c>
      <c r="J12" s="218"/>
    </row>
    <row r="13" ht="15.75" customHeight="1" spans="1:10">
      <c r="A13" s="177">
        <v>8</v>
      </c>
      <c r="B13" s="105">
        <v>8</v>
      </c>
      <c r="C13" s="217" t="s">
        <v>146</v>
      </c>
      <c r="D13" s="218" t="s">
        <v>149</v>
      </c>
      <c r="E13" s="105" t="s">
        <v>148</v>
      </c>
      <c r="F13" s="105">
        <v>56</v>
      </c>
      <c r="G13" s="289">
        <v>0.165</v>
      </c>
      <c r="H13" s="289"/>
      <c r="I13" s="289">
        <f t="shared" si="0"/>
        <v>9.24</v>
      </c>
      <c r="J13" s="218"/>
    </row>
    <row r="14" ht="15.75" customHeight="1" spans="1:10">
      <c r="A14" s="177">
        <v>9</v>
      </c>
      <c r="B14" s="105">
        <v>9</v>
      </c>
      <c r="C14" s="217" t="s">
        <v>150</v>
      </c>
      <c r="D14" s="218" t="s">
        <v>151</v>
      </c>
      <c r="E14" s="105" t="s">
        <v>152</v>
      </c>
      <c r="F14" s="105">
        <v>54</v>
      </c>
      <c r="G14" s="289">
        <v>0.11</v>
      </c>
      <c r="H14" s="289"/>
      <c r="I14" s="289">
        <f t="shared" si="0"/>
        <v>5.94</v>
      </c>
      <c r="J14" s="218"/>
    </row>
    <row r="15" ht="15.75" customHeight="1" spans="1:10">
      <c r="A15" s="177">
        <v>10</v>
      </c>
      <c r="B15" s="105">
        <v>10</v>
      </c>
      <c r="C15" s="217" t="s">
        <v>153</v>
      </c>
      <c r="D15" s="218" t="s">
        <v>154</v>
      </c>
      <c r="E15" s="105" t="s">
        <v>152</v>
      </c>
      <c r="F15" s="105">
        <v>54</v>
      </c>
      <c r="G15" s="289">
        <v>0.21</v>
      </c>
      <c r="H15" s="289"/>
      <c r="I15" s="289">
        <f t="shared" si="0"/>
        <v>11.34</v>
      </c>
      <c r="J15" s="218"/>
    </row>
    <row r="16" ht="15.75" customHeight="1" spans="1:10">
      <c r="A16" s="177">
        <v>11</v>
      </c>
      <c r="B16" s="105">
        <v>11</v>
      </c>
      <c r="C16" s="217" t="s">
        <v>155</v>
      </c>
      <c r="D16" s="218" t="s">
        <v>156</v>
      </c>
      <c r="E16" s="105" t="s">
        <v>157</v>
      </c>
      <c r="F16" s="105">
        <v>522</v>
      </c>
      <c r="G16" s="289">
        <v>0.83</v>
      </c>
      <c r="H16" s="289"/>
      <c r="I16" s="289">
        <f t="shared" si="0"/>
        <v>433.26</v>
      </c>
      <c r="J16" s="218"/>
    </row>
    <row r="17" ht="15.75" customHeight="1" spans="1:10">
      <c r="A17" s="177">
        <v>12</v>
      </c>
      <c r="B17" s="105">
        <v>12</v>
      </c>
      <c r="C17" s="217" t="s">
        <v>158</v>
      </c>
      <c r="D17" s="218" t="s">
        <v>159</v>
      </c>
      <c r="E17" s="105" t="s">
        <v>157</v>
      </c>
      <c r="F17" s="105">
        <v>0</v>
      </c>
      <c r="G17" s="289">
        <v>2.13</v>
      </c>
      <c r="H17" s="289"/>
      <c r="I17" s="289">
        <f t="shared" si="0"/>
        <v>0</v>
      </c>
      <c r="J17" s="218"/>
    </row>
    <row r="18" ht="15.75" customHeight="1" spans="1:10">
      <c r="A18" s="177">
        <v>13</v>
      </c>
      <c r="B18" s="105">
        <v>13</v>
      </c>
      <c r="C18" s="217" t="s">
        <v>160</v>
      </c>
      <c r="D18" s="218" t="s">
        <v>161</v>
      </c>
      <c r="E18" s="105" t="s">
        <v>139</v>
      </c>
      <c r="F18" s="105">
        <v>864</v>
      </c>
      <c r="G18" s="289">
        <v>0.26</v>
      </c>
      <c r="H18" s="289"/>
      <c r="I18" s="289">
        <f t="shared" si="0"/>
        <v>224.64</v>
      </c>
      <c r="J18" s="218"/>
    </row>
    <row r="19" ht="15.75" customHeight="1" spans="1:10">
      <c r="A19" s="177">
        <v>14</v>
      </c>
      <c r="B19" s="105">
        <v>14</v>
      </c>
      <c r="C19" s="217" t="s">
        <v>162</v>
      </c>
      <c r="D19" s="218" t="s">
        <v>163</v>
      </c>
      <c r="E19" s="105" t="s">
        <v>142</v>
      </c>
      <c r="F19" s="105">
        <v>6686</v>
      </c>
      <c r="G19" s="289">
        <v>0.039</v>
      </c>
      <c r="H19" s="289"/>
      <c r="I19" s="289">
        <f t="shared" si="0"/>
        <v>260.754</v>
      </c>
      <c r="J19" s="218"/>
    </row>
    <row r="20" ht="15.75" customHeight="1" spans="1:10">
      <c r="A20" s="177">
        <v>15</v>
      </c>
      <c r="B20" s="105">
        <v>15</v>
      </c>
      <c r="C20" s="217" t="s">
        <v>164</v>
      </c>
      <c r="D20" s="218" t="s">
        <v>165</v>
      </c>
      <c r="E20" s="105" t="s">
        <v>139</v>
      </c>
      <c r="F20" s="105">
        <v>134</v>
      </c>
      <c r="G20" s="289">
        <v>1.274</v>
      </c>
      <c r="H20" s="289"/>
      <c r="I20" s="289">
        <f t="shared" si="0"/>
        <v>170.716</v>
      </c>
      <c r="J20" s="218"/>
    </row>
    <row r="21" ht="15.75" customHeight="1" spans="1:10">
      <c r="A21" s="177">
        <v>16</v>
      </c>
      <c r="B21" s="105">
        <v>16</v>
      </c>
      <c r="C21" s="217" t="s">
        <v>166</v>
      </c>
      <c r="D21" s="218" t="s">
        <v>167</v>
      </c>
      <c r="E21" s="105" t="s">
        <v>142</v>
      </c>
      <c r="F21" s="105">
        <v>6892</v>
      </c>
      <c r="G21" s="289">
        <v>0.078</v>
      </c>
      <c r="H21" s="289"/>
      <c r="I21" s="289">
        <f t="shared" si="0"/>
        <v>537.576</v>
      </c>
      <c r="J21" s="218"/>
    </row>
    <row r="22" ht="15.75" customHeight="1" spans="1:10">
      <c r="A22" s="177">
        <v>17</v>
      </c>
      <c r="B22" s="105">
        <v>17</v>
      </c>
      <c r="C22" s="217" t="s">
        <v>168</v>
      </c>
      <c r="D22" s="218" t="s">
        <v>169</v>
      </c>
      <c r="E22" s="105" t="s">
        <v>131</v>
      </c>
      <c r="F22" s="105">
        <v>476</v>
      </c>
      <c r="G22" s="289">
        <v>0.34</v>
      </c>
      <c r="H22" s="289"/>
      <c r="I22" s="289">
        <f t="shared" si="0"/>
        <v>161.84</v>
      </c>
      <c r="J22" s="218"/>
    </row>
    <row r="23" ht="15.75" customHeight="1" spans="1:10">
      <c r="A23" s="177">
        <v>18</v>
      </c>
      <c r="B23" s="105">
        <v>18</v>
      </c>
      <c r="C23" s="217" t="s">
        <v>168</v>
      </c>
      <c r="D23" s="218" t="s">
        <v>170</v>
      </c>
      <c r="E23" s="105" t="s">
        <v>131</v>
      </c>
      <c r="F23" s="105">
        <v>0</v>
      </c>
      <c r="G23" s="289">
        <v>0.68</v>
      </c>
      <c r="H23" s="289"/>
      <c r="I23" s="289">
        <f t="shared" si="0"/>
        <v>0</v>
      </c>
      <c r="J23" s="218"/>
    </row>
    <row r="24" ht="15.75" customHeight="1" spans="1:10">
      <c r="A24" s="177">
        <v>19</v>
      </c>
      <c r="B24" s="105">
        <v>19</v>
      </c>
      <c r="C24" s="217" t="s">
        <v>171</v>
      </c>
      <c r="D24" s="218" t="s">
        <v>172</v>
      </c>
      <c r="E24" s="105" t="s">
        <v>139</v>
      </c>
      <c r="F24" s="105">
        <v>998</v>
      </c>
      <c r="G24" s="289">
        <v>0.56</v>
      </c>
      <c r="H24" s="289"/>
      <c r="I24" s="289">
        <f t="shared" si="0"/>
        <v>558.88</v>
      </c>
      <c r="J24" s="218"/>
    </row>
    <row r="25" ht="15.75" customHeight="1" spans="1:10">
      <c r="A25" s="177">
        <v>20</v>
      </c>
      <c r="B25" s="105">
        <v>20</v>
      </c>
      <c r="C25" s="217" t="s">
        <v>173</v>
      </c>
      <c r="D25" s="218" t="s">
        <v>174</v>
      </c>
      <c r="E25" s="105" t="s">
        <v>175</v>
      </c>
      <c r="F25" s="105">
        <f>'表四甲 主设备'!E8+'表四甲 主设备'!E10</f>
        <v>26</v>
      </c>
      <c r="G25" s="289">
        <v>1.94</v>
      </c>
      <c r="H25" s="289"/>
      <c r="I25" s="289">
        <f t="shared" si="0"/>
        <v>50.44</v>
      </c>
      <c r="J25" s="218"/>
    </row>
    <row r="26" ht="15.75" customHeight="1" spans="1:10">
      <c r="A26" s="177">
        <v>21</v>
      </c>
      <c r="B26" s="105">
        <v>21</v>
      </c>
      <c r="C26" s="217" t="s">
        <v>176</v>
      </c>
      <c r="D26" s="218" t="s">
        <v>177</v>
      </c>
      <c r="E26" s="105" t="s">
        <v>178</v>
      </c>
      <c r="F26" s="105">
        <v>0</v>
      </c>
      <c r="G26" s="289">
        <v>6.42</v>
      </c>
      <c r="H26" s="289"/>
      <c r="I26" s="289">
        <f t="shared" si="0"/>
        <v>0</v>
      </c>
      <c r="J26" s="218"/>
    </row>
    <row r="27" ht="15.75" customHeight="1" spans="1:10">
      <c r="A27" s="177">
        <v>22</v>
      </c>
      <c r="B27" s="105">
        <v>22</v>
      </c>
      <c r="C27" s="217" t="s">
        <v>179</v>
      </c>
      <c r="D27" s="218" t="s">
        <v>180</v>
      </c>
      <c r="E27" s="105" t="s">
        <v>181</v>
      </c>
      <c r="F27" s="105">
        <f>F25</f>
        <v>26</v>
      </c>
      <c r="G27" s="289">
        <v>1.692</v>
      </c>
      <c r="H27" s="289"/>
      <c r="I27" s="289">
        <f t="shared" si="0"/>
        <v>43.992</v>
      </c>
      <c r="J27" s="218"/>
    </row>
    <row r="28" ht="15.75" customHeight="1" spans="1:10">
      <c r="A28" s="177">
        <v>23</v>
      </c>
      <c r="B28" s="105">
        <v>23</v>
      </c>
      <c r="C28" s="217" t="s">
        <v>182</v>
      </c>
      <c r="D28" s="218" t="s">
        <v>183</v>
      </c>
      <c r="E28" s="105" t="s">
        <v>175</v>
      </c>
      <c r="F28" s="105">
        <f>'表四甲 材料表'!E19</f>
        <v>52</v>
      </c>
      <c r="G28" s="289">
        <v>0.05</v>
      </c>
      <c r="H28" s="289"/>
      <c r="I28" s="289">
        <f t="shared" si="0"/>
        <v>2.6</v>
      </c>
      <c r="J28" s="218"/>
    </row>
    <row r="29" ht="15.75" customHeight="1" spans="1:10">
      <c r="A29" s="177">
        <v>24</v>
      </c>
      <c r="B29" s="105">
        <v>24</v>
      </c>
      <c r="C29" s="217">
        <v>0</v>
      </c>
      <c r="D29" s="218" t="s">
        <v>184</v>
      </c>
      <c r="E29" s="105">
        <v>0</v>
      </c>
      <c r="F29" s="105">
        <v>0</v>
      </c>
      <c r="G29" s="289">
        <v>0</v>
      </c>
      <c r="H29" s="289"/>
      <c r="I29" s="289">
        <f>SUM(I6:I28)</f>
        <v>3192.648</v>
      </c>
      <c r="J29" s="218"/>
    </row>
    <row r="30" ht="15.75" customHeight="1" spans="2:10">
      <c r="B30" s="189" t="s">
        <v>32</v>
      </c>
      <c r="C30" s="235"/>
      <c r="D30" s="204"/>
      <c r="E30" s="206"/>
      <c r="F30" s="177"/>
      <c r="G30" s="209"/>
      <c r="H30" s="209"/>
      <c r="I30" s="209"/>
      <c r="J30" s="225" t="s">
        <v>113</v>
      </c>
    </row>
    <row r="31" ht="33" customHeight="1" spans="2:10">
      <c r="B31" s="207" t="s">
        <v>185</v>
      </c>
      <c r="C31" s="207"/>
      <c r="D31" s="207"/>
      <c r="E31" s="207"/>
      <c r="F31" s="207"/>
      <c r="G31" s="207"/>
      <c r="H31" s="207"/>
      <c r="I31" s="207"/>
      <c r="J31" s="207"/>
    </row>
    <row r="32" ht="24" customHeight="1" spans="2:10">
      <c r="B32" s="208" t="str">
        <f>表一!A2</f>
        <v>工程名称：杭州钱塘区下沙街道开发区电力隧道（一期二标）信号覆盖建设工程</v>
      </c>
      <c r="C32" s="204"/>
      <c r="D32" s="204"/>
      <c r="E32" s="206"/>
      <c r="G32" s="209"/>
      <c r="H32" s="209"/>
      <c r="I32" s="209"/>
      <c r="J32" s="223" t="s">
        <v>186</v>
      </c>
    </row>
    <row r="33" ht="18" customHeight="1" spans="2:10">
      <c r="B33" s="105" t="s">
        <v>4</v>
      </c>
      <c r="C33" s="105" t="s">
        <v>116</v>
      </c>
      <c r="D33" s="105" t="s">
        <v>117</v>
      </c>
      <c r="E33" s="105" t="s">
        <v>118</v>
      </c>
      <c r="F33" s="105" t="s">
        <v>119</v>
      </c>
      <c r="G33" s="211" t="s">
        <v>120</v>
      </c>
      <c r="H33" s="211"/>
      <c r="I33" s="105" t="s">
        <v>121</v>
      </c>
      <c r="J33" s="105"/>
    </row>
    <row r="34" ht="18" customHeight="1" spans="2:10">
      <c r="B34" s="105"/>
      <c r="C34" s="105"/>
      <c r="D34" s="105"/>
      <c r="E34" s="105"/>
      <c r="F34" s="105"/>
      <c r="G34" s="211" t="s">
        <v>122</v>
      </c>
      <c r="H34" s="211" t="s">
        <v>123</v>
      </c>
      <c r="I34" s="211" t="s">
        <v>122</v>
      </c>
      <c r="J34" s="105" t="s">
        <v>123</v>
      </c>
    </row>
    <row r="35" s="205" customFormat="1" ht="18" customHeight="1" spans="1:10">
      <c r="A35" s="214"/>
      <c r="B35" s="287" t="s">
        <v>38</v>
      </c>
      <c r="C35" s="287" t="s">
        <v>39</v>
      </c>
      <c r="D35" s="287" t="s">
        <v>40</v>
      </c>
      <c r="E35" s="287" t="s">
        <v>41</v>
      </c>
      <c r="F35" s="287" t="s">
        <v>124</v>
      </c>
      <c r="G35" s="288" t="s">
        <v>125</v>
      </c>
      <c r="H35" s="288" t="s">
        <v>126</v>
      </c>
      <c r="I35" s="288" t="s">
        <v>127</v>
      </c>
      <c r="J35" s="287" t="s">
        <v>128</v>
      </c>
    </row>
    <row r="36" ht="15.75" customHeight="1" spans="1:10">
      <c r="A36" s="177">
        <v>25</v>
      </c>
      <c r="B36" s="105">
        <v>0</v>
      </c>
      <c r="C36" s="217" t="s">
        <v>30</v>
      </c>
      <c r="D36" s="218" t="s">
        <v>30</v>
      </c>
      <c r="E36" s="105" t="s">
        <v>30</v>
      </c>
      <c r="F36" s="105" t="s">
        <v>30</v>
      </c>
      <c r="G36" s="289" t="s">
        <v>30</v>
      </c>
      <c r="H36" s="289"/>
      <c r="I36" s="289">
        <v>0</v>
      </c>
      <c r="J36" s="218"/>
    </row>
    <row r="37" ht="15.75" customHeight="1" spans="1:10">
      <c r="A37" s="177">
        <v>26</v>
      </c>
      <c r="B37" s="105">
        <v>0</v>
      </c>
      <c r="C37" s="217" t="s">
        <v>30</v>
      </c>
      <c r="D37" s="218" t="s">
        <v>30</v>
      </c>
      <c r="E37" s="105" t="s">
        <v>30</v>
      </c>
      <c r="F37" s="105" t="s">
        <v>30</v>
      </c>
      <c r="G37" s="289" t="s">
        <v>30</v>
      </c>
      <c r="H37" s="289"/>
      <c r="I37" s="289">
        <v>0</v>
      </c>
      <c r="J37" s="218"/>
    </row>
    <row r="38" ht="15.75" customHeight="1" spans="1:10">
      <c r="A38" s="177">
        <v>27</v>
      </c>
      <c r="B38" s="105">
        <v>0</v>
      </c>
      <c r="C38" s="217" t="s">
        <v>30</v>
      </c>
      <c r="D38" s="218" t="s">
        <v>30</v>
      </c>
      <c r="E38" s="105" t="s">
        <v>30</v>
      </c>
      <c r="F38" s="105" t="s">
        <v>30</v>
      </c>
      <c r="G38" s="289" t="s">
        <v>30</v>
      </c>
      <c r="H38" s="289"/>
      <c r="I38" s="289">
        <v>0</v>
      </c>
      <c r="J38" s="218"/>
    </row>
    <row r="39" ht="15.75" customHeight="1" spans="1:10">
      <c r="A39" s="177">
        <v>28</v>
      </c>
      <c r="B39" s="105">
        <v>0</v>
      </c>
      <c r="C39" s="217" t="s">
        <v>30</v>
      </c>
      <c r="D39" s="218" t="s">
        <v>30</v>
      </c>
      <c r="E39" s="105" t="s">
        <v>30</v>
      </c>
      <c r="F39" s="105" t="s">
        <v>30</v>
      </c>
      <c r="G39" s="289" t="s">
        <v>30</v>
      </c>
      <c r="H39" s="289"/>
      <c r="I39" s="289">
        <v>0</v>
      </c>
      <c r="J39" s="218"/>
    </row>
    <row r="40" ht="15.75" customHeight="1" spans="1:10">
      <c r="A40" s="177">
        <v>29</v>
      </c>
      <c r="B40" s="105">
        <v>0</v>
      </c>
      <c r="C40" s="217" t="s">
        <v>30</v>
      </c>
      <c r="D40" s="218" t="s">
        <v>30</v>
      </c>
      <c r="E40" s="105" t="s">
        <v>30</v>
      </c>
      <c r="F40" s="105" t="s">
        <v>30</v>
      </c>
      <c r="G40" s="289" t="s">
        <v>30</v>
      </c>
      <c r="H40" s="289"/>
      <c r="I40" s="289">
        <v>0</v>
      </c>
      <c r="J40" s="218"/>
    </row>
    <row r="41" ht="15.75" customHeight="1" spans="1:10">
      <c r="A41" s="177">
        <v>30</v>
      </c>
      <c r="B41" s="105">
        <v>0</v>
      </c>
      <c r="C41" s="217" t="s">
        <v>30</v>
      </c>
      <c r="D41" s="218" t="s">
        <v>30</v>
      </c>
      <c r="E41" s="105" t="s">
        <v>30</v>
      </c>
      <c r="F41" s="105" t="s">
        <v>30</v>
      </c>
      <c r="G41" s="289" t="s">
        <v>30</v>
      </c>
      <c r="H41" s="289"/>
      <c r="I41" s="289">
        <v>0</v>
      </c>
      <c r="J41" s="218"/>
    </row>
    <row r="42" ht="15.75" customHeight="1" spans="1:10">
      <c r="A42" s="177">
        <v>31</v>
      </c>
      <c r="B42" s="105">
        <v>0</v>
      </c>
      <c r="C42" s="217" t="s">
        <v>30</v>
      </c>
      <c r="D42" s="218" t="s">
        <v>30</v>
      </c>
      <c r="E42" s="105" t="s">
        <v>30</v>
      </c>
      <c r="F42" s="105" t="s">
        <v>30</v>
      </c>
      <c r="G42" s="289" t="s">
        <v>30</v>
      </c>
      <c r="H42" s="289"/>
      <c r="I42" s="289">
        <v>0</v>
      </c>
      <c r="J42" s="218"/>
    </row>
    <row r="43" ht="15.75" customHeight="1" spans="1:10">
      <c r="A43" s="177">
        <v>32</v>
      </c>
      <c r="B43" s="105">
        <v>0</v>
      </c>
      <c r="C43" s="217" t="s">
        <v>30</v>
      </c>
      <c r="D43" s="218" t="s">
        <v>30</v>
      </c>
      <c r="E43" s="105" t="s">
        <v>30</v>
      </c>
      <c r="F43" s="105" t="s">
        <v>30</v>
      </c>
      <c r="G43" s="289" t="s">
        <v>30</v>
      </c>
      <c r="H43" s="289"/>
      <c r="I43" s="289">
        <v>0</v>
      </c>
      <c r="J43" s="218"/>
    </row>
    <row r="44" ht="15.75" customHeight="1" spans="1:10">
      <c r="A44" s="177">
        <v>33</v>
      </c>
      <c r="B44" s="105">
        <v>0</v>
      </c>
      <c r="C44" s="217" t="s">
        <v>30</v>
      </c>
      <c r="D44" s="218" t="s">
        <v>30</v>
      </c>
      <c r="E44" s="105" t="s">
        <v>30</v>
      </c>
      <c r="F44" s="105" t="s">
        <v>30</v>
      </c>
      <c r="G44" s="289" t="s">
        <v>30</v>
      </c>
      <c r="H44" s="289"/>
      <c r="I44" s="289">
        <v>0</v>
      </c>
      <c r="J44" s="218"/>
    </row>
    <row r="45" ht="15.75" customHeight="1" spans="1:10">
      <c r="A45" s="177">
        <v>34</v>
      </c>
      <c r="B45" s="105">
        <v>0</v>
      </c>
      <c r="C45" s="217" t="s">
        <v>30</v>
      </c>
      <c r="D45" s="218" t="s">
        <v>30</v>
      </c>
      <c r="E45" s="105" t="s">
        <v>30</v>
      </c>
      <c r="F45" s="105" t="s">
        <v>30</v>
      </c>
      <c r="G45" s="289" t="s">
        <v>30</v>
      </c>
      <c r="H45" s="289"/>
      <c r="I45" s="289">
        <v>0</v>
      </c>
      <c r="J45" s="218"/>
    </row>
    <row r="46" ht="15.75" customHeight="1" spans="1:10">
      <c r="A46" s="177">
        <v>35</v>
      </c>
      <c r="B46" s="105">
        <v>0</v>
      </c>
      <c r="C46" s="217" t="s">
        <v>30</v>
      </c>
      <c r="D46" s="218" t="s">
        <v>30</v>
      </c>
      <c r="E46" s="105" t="s">
        <v>30</v>
      </c>
      <c r="F46" s="105" t="s">
        <v>30</v>
      </c>
      <c r="G46" s="289" t="s">
        <v>30</v>
      </c>
      <c r="H46" s="289"/>
      <c r="I46" s="289">
        <v>0</v>
      </c>
      <c r="J46" s="218"/>
    </row>
    <row r="47" ht="15.75" customHeight="1" spans="1:10">
      <c r="A47" s="177">
        <v>36</v>
      </c>
      <c r="B47" s="105">
        <v>0</v>
      </c>
      <c r="C47" s="217" t="s">
        <v>30</v>
      </c>
      <c r="D47" s="218" t="s">
        <v>30</v>
      </c>
      <c r="E47" s="105" t="s">
        <v>30</v>
      </c>
      <c r="F47" s="105" t="s">
        <v>30</v>
      </c>
      <c r="G47" s="289" t="s">
        <v>30</v>
      </c>
      <c r="H47" s="289"/>
      <c r="I47" s="289">
        <v>0</v>
      </c>
      <c r="J47" s="218"/>
    </row>
    <row r="48" ht="15.75" customHeight="1" spans="1:10">
      <c r="A48" s="177">
        <v>37</v>
      </c>
      <c r="B48" s="105">
        <v>0</v>
      </c>
      <c r="C48" s="217" t="s">
        <v>30</v>
      </c>
      <c r="D48" s="218" t="s">
        <v>30</v>
      </c>
      <c r="E48" s="105" t="s">
        <v>30</v>
      </c>
      <c r="F48" s="105" t="s">
        <v>30</v>
      </c>
      <c r="G48" s="289" t="s">
        <v>30</v>
      </c>
      <c r="H48" s="289"/>
      <c r="I48" s="289">
        <v>0</v>
      </c>
      <c r="J48" s="218"/>
    </row>
    <row r="49" ht="15.75" customHeight="1" spans="1:10">
      <c r="A49" s="177">
        <v>38</v>
      </c>
      <c r="B49" s="105">
        <v>0</v>
      </c>
      <c r="C49" s="217" t="s">
        <v>30</v>
      </c>
      <c r="D49" s="218" t="s">
        <v>30</v>
      </c>
      <c r="E49" s="105" t="s">
        <v>30</v>
      </c>
      <c r="F49" s="105" t="s">
        <v>30</v>
      </c>
      <c r="G49" s="289" t="s">
        <v>30</v>
      </c>
      <c r="H49" s="289"/>
      <c r="I49" s="289">
        <v>0</v>
      </c>
      <c r="J49" s="218"/>
    </row>
    <row r="50" ht="15.75" customHeight="1" spans="1:10">
      <c r="A50" s="177">
        <v>39</v>
      </c>
      <c r="B50" s="105">
        <v>0</v>
      </c>
      <c r="C50" s="217" t="s">
        <v>30</v>
      </c>
      <c r="D50" s="218" t="s">
        <v>30</v>
      </c>
      <c r="E50" s="105" t="s">
        <v>30</v>
      </c>
      <c r="F50" s="105" t="s">
        <v>30</v>
      </c>
      <c r="G50" s="289" t="s">
        <v>30</v>
      </c>
      <c r="H50" s="289"/>
      <c r="I50" s="289">
        <v>0</v>
      </c>
      <c r="J50" s="218"/>
    </row>
    <row r="51" ht="15.75" customHeight="1" spans="1:10">
      <c r="A51" s="177">
        <v>40</v>
      </c>
      <c r="B51" s="105">
        <v>0</v>
      </c>
      <c r="C51" s="217" t="s">
        <v>30</v>
      </c>
      <c r="D51" s="218" t="s">
        <v>30</v>
      </c>
      <c r="E51" s="105" t="s">
        <v>30</v>
      </c>
      <c r="F51" s="105" t="s">
        <v>30</v>
      </c>
      <c r="G51" s="289" t="s">
        <v>30</v>
      </c>
      <c r="H51" s="289"/>
      <c r="I51" s="289">
        <v>0</v>
      </c>
      <c r="J51" s="218"/>
    </row>
    <row r="52" ht="15.75" customHeight="1" spans="1:10">
      <c r="A52" s="177">
        <v>41</v>
      </c>
      <c r="B52" s="105">
        <v>0</v>
      </c>
      <c r="C52" s="217" t="s">
        <v>30</v>
      </c>
      <c r="D52" s="218" t="s">
        <v>30</v>
      </c>
      <c r="E52" s="105" t="s">
        <v>30</v>
      </c>
      <c r="F52" s="105" t="s">
        <v>30</v>
      </c>
      <c r="G52" s="289" t="s">
        <v>30</v>
      </c>
      <c r="H52" s="289"/>
      <c r="I52" s="289">
        <v>0</v>
      </c>
      <c r="J52" s="218"/>
    </row>
    <row r="53" ht="15.75" customHeight="1" spans="1:10">
      <c r="A53" s="177">
        <v>42</v>
      </c>
      <c r="B53" s="105">
        <v>0</v>
      </c>
      <c r="C53" s="217" t="s">
        <v>30</v>
      </c>
      <c r="D53" s="218" t="s">
        <v>30</v>
      </c>
      <c r="E53" s="105" t="s">
        <v>30</v>
      </c>
      <c r="F53" s="105" t="s">
        <v>30</v>
      </c>
      <c r="G53" s="289" t="s">
        <v>30</v>
      </c>
      <c r="H53" s="289"/>
      <c r="I53" s="289">
        <v>0</v>
      </c>
      <c r="J53" s="218"/>
    </row>
    <row r="54" ht="15.75" customHeight="1" spans="1:10">
      <c r="A54" s="177">
        <v>43</v>
      </c>
      <c r="B54" s="105">
        <v>0</v>
      </c>
      <c r="C54" s="217" t="s">
        <v>30</v>
      </c>
      <c r="D54" s="218" t="s">
        <v>30</v>
      </c>
      <c r="E54" s="105" t="s">
        <v>30</v>
      </c>
      <c r="F54" s="105" t="s">
        <v>30</v>
      </c>
      <c r="G54" s="289" t="s">
        <v>30</v>
      </c>
      <c r="H54" s="289"/>
      <c r="I54" s="289">
        <v>0</v>
      </c>
      <c r="J54" s="218"/>
    </row>
    <row r="55" ht="15.75" customHeight="1" spans="1:10">
      <c r="A55" s="177">
        <v>44</v>
      </c>
      <c r="B55" s="105">
        <v>0</v>
      </c>
      <c r="C55" s="217" t="s">
        <v>30</v>
      </c>
      <c r="D55" s="218" t="s">
        <v>30</v>
      </c>
      <c r="E55" s="105" t="s">
        <v>30</v>
      </c>
      <c r="F55" s="105" t="s">
        <v>30</v>
      </c>
      <c r="G55" s="289" t="s">
        <v>30</v>
      </c>
      <c r="H55" s="289"/>
      <c r="I55" s="289">
        <v>0</v>
      </c>
      <c r="J55" s="218"/>
    </row>
    <row r="56" ht="15.75" customHeight="1" spans="1:10">
      <c r="A56" s="177">
        <v>45</v>
      </c>
      <c r="B56" s="105">
        <v>0</v>
      </c>
      <c r="C56" s="217" t="s">
        <v>30</v>
      </c>
      <c r="D56" s="218" t="s">
        <v>30</v>
      </c>
      <c r="E56" s="105" t="s">
        <v>30</v>
      </c>
      <c r="F56" s="105" t="s">
        <v>30</v>
      </c>
      <c r="G56" s="289" t="s">
        <v>30</v>
      </c>
      <c r="H56" s="289"/>
      <c r="I56" s="289">
        <v>0</v>
      </c>
      <c r="J56" s="218"/>
    </row>
    <row r="57" ht="15.75" customHeight="1" spans="1:10">
      <c r="A57" s="177">
        <v>46</v>
      </c>
      <c r="B57" s="105">
        <v>0</v>
      </c>
      <c r="C57" s="217" t="s">
        <v>30</v>
      </c>
      <c r="D57" s="218" t="s">
        <v>30</v>
      </c>
      <c r="E57" s="105" t="s">
        <v>30</v>
      </c>
      <c r="F57" s="105" t="s">
        <v>30</v>
      </c>
      <c r="G57" s="289" t="s">
        <v>30</v>
      </c>
      <c r="H57" s="289"/>
      <c r="I57" s="289">
        <v>0</v>
      </c>
      <c r="J57" s="218"/>
    </row>
    <row r="58" ht="15.75" customHeight="1" spans="1:10">
      <c r="A58" s="177">
        <v>47</v>
      </c>
      <c r="B58" s="105">
        <v>0</v>
      </c>
      <c r="C58" s="217" t="s">
        <v>30</v>
      </c>
      <c r="D58" s="218" t="s">
        <v>30</v>
      </c>
      <c r="E58" s="105" t="s">
        <v>30</v>
      </c>
      <c r="F58" s="105" t="s">
        <v>30</v>
      </c>
      <c r="G58" s="289" t="s">
        <v>30</v>
      </c>
      <c r="H58" s="289"/>
      <c r="I58" s="289">
        <v>0</v>
      </c>
      <c r="J58" s="218"/>
    </row>
    <row r="59" ht="15.75" customHeight="1" spans="1:10">
      <c r="A59" s="177">
        <v>48</v>
      </c>
      <c r="B59" s="105">
        <v>0</v>
      </c>
      <c r="C59" s="217" t="s">
        <v>30</v>
      </c>
      <c r="D59" s="218" t="s">
        <v>30</v>
      </c>
      <c r="E59" s="105" t="s">
        <v>30</v>
      </c>
      <c r="F59" s="105" t="s">
        <v>30</v>
      </c>
      <c r="G59" s="289" t="s">
        <v>30</v>
      </c>
      <c r="H59" s="289"/>
      <c r="I59" s="289">
        <v>0</v>
      </c>
      <c r="J59" s="218"/>
    </row>
    <row r="60" s="204" customFormat="1" ht="15.75" customHeight="1" spans="1:10">
      <c r="A60" s="206"/>
      <c r="B60" s="189" t="s">
        <v>32</v>
      </c>
      <c r="C60" s="235"/>
      <c r="E60" s="206"/>
      <c r="F60" s="177"/>
      <c r="G60" s="209"/>
      <c r="H60" s="209"/>
      <c r="I60" s="209"/>
      <c r="J60" s="225" t="s">
        <v>113</v>
      </c>
    </row>
    <row r="61" s="204" customFormat="1" ht="33" customHeight="1" spans="1:10">
      <c r="A61" s="206"/>
      <c r="B61" s="207" t="s">
        <v>185</v>
      </c>
      <c r="C61" s="207"/>
      <c r="D61" s="207"/>
      <c r="E61" s="207"/>
      <c r="F61" s="207"/>
      <c r="G61" s="207"/>
      <c r="H61" s="207"/>
      <c r="I61" s="207"/>
      <c r="J61" s="207"/>
    </row>
    <row r="62" s="204" customFormat="1" ht="24" customHeight="1" spans="1:10">
      <c r="A62" s="206"/>
      <c r="B62" s="208" t="str">
        <f>表一!A2</f>
        <v>工程名称：杭州钱塘区下沙街道开发区电力隧道（一期二标）信号覆盖建设工程</v>
      </c>
      <c r="E62" s="206"/>
      <c r="F62" s="176"/>
      <c r="G62" s="209"/>
      <c r="H62" s="209"/>
      <c r="I62" s="209"/>
      <c r="J62" s="223" t="s">
        <v>187</v>
      </c>
    </row>
    <row r="63" ht="18" customHeight="1" spans="2:10">
      <c r="B63" s="105" t="s">
        <v>4</v>
      </c>
      <c r="C63" s="105" t="s">
        <v>116</v>
      </c>
      <c r="D63" s="105" t="s">
        <v>117</v>
      </c>
      <c r="E63" s="105" t="s">
        <v>118</v>
      </c>
      <c r="F63" s="105" t="s">
        <v>119</v>
      </c>
      <c r="G63" s="211" t="s">
        <v>120</v>
      </c>
      <c r="H63" s="211"/>
      <c r="I63" s="105" t="s">
        <v>121</v>
      </c>
      <c r="J63" s="105"/>
    </row>
    <row r="64" ht="18" customHeight="1" spans="2:10">
      <c r="B64" s="105"/>
      <c r="C64" s="105"/>
      <c r="D64" s="105"/>
      <c r="E64" s="105"/>
      <c r="F64" s="105"/>
      <c r="G64" s="211" t="s">
        <v>122</v>
      </c>
      <c r="H64" s="211" t="s">
        <v>123</v>
      </c>
      <c r="I64" s="211" t="s">
        <v>122</v>
      </c>
      <c r="J64" s="105" t="s">
        <v>123</v>
      </c>
    </row>
    <row r="65" s="205" customFormat="1" ht="18" customHeight="1" spans="1:10">
      <c r="A65" s="214"/>
      <c r="B65" s="287" t="s">
        <v>38</v>
      </c>
      <c r="C65" s="287" t="s">
        <v>39</v>
      </c>
      <c r="D65" s="287" t="s">
        <v>40</v>
      </c>
      <c r="E65" s="287" t="s">
        <v>41</v>
      </c>
      <c r="F65" s="287" t="s">
        <v>124</v>
      </c>
      <c r="G65" s="288" t="s">
        <v>125</v>
      </c>
      <c r="H65" s="288" t="s">
        <v>126</v>
      </c>
      <c r="I65" s="288" t="s">
        <v>127</v>
      </c>
      <c r="J65" s="287" t="s">
        <v>128</v>
      </c>
    </row>
    <row r="66" ht="15.75" customHeight="1" spans="1:10">
      <c r="A66" s="177">
        <v>49</v>
      </c>
      <c r="B66" s="105">
        <v>0</v>
      </c>
      <c r="C66" s="217" t="s">
        <v>30</v>
      </c>
      <c r="D66" s="218" t="s">
        <v>30</v>
      </c>
      <c r="E66" s="105" t="s">
        <v>30</v>
      </c>
      <c r="F66" s="105" t="s">
        <v>30</v>
      </c>
      <c r="G66" s="289" t="s">
        <v>30</v>
      </c>
      <c r="H66" s="289"/>
      <c r="I66" s="289">
        <v>0</v>
      </c>
      <c r="J66" s="218"/>
    </row>
    <row r="67" ht="15.75" customHeight="1" spans="1:10">
      <c r="A67" s="177">
        <v>50</v>
      </c>
      <c r="B67" s="105">
        <v>0</v>
      </c>
      <c r="C67" s="217" t="s">
        <v>30</v>
      </c>
      <c r="D67" s="218" t="s">
        <v>30</v>
      </c>
      <c r="E67" s="105" t="s">
        <v>30</v>
      </c>
      <c r="F67" s="105" t="s">
        <v>30</v>
      </c>
      <c r="G67" s="289" t="s">
        <v>30</v>
      </c>
      <c r="H67" s="289"/>
      <c r="I67" s="289">
        <v>0</v>
      </c>
      <c r="J67" s="218"/>
    </row>
    <row r="68" ht="15.75" customHeight="1" spans="1:10">
      <c r="A68" s="177">
        <v>51</v>
      </c>
      <c r="B68" s="105">
        <v>0</v>
      </c>
      <c r="C68" s="217" t="s">
        <v>30</v>
      </c>
      <c r="D68" s="218" t="s">
        <v>30</v>
      </c>
      <c r="E68" s="105" t="s">
        <v>30</v>
      </c>
      <c r="F68" s="105" t="s">
        <v>30</v>
      </c>
      <c r="G68" s="289" t="s">
        <v>30</v>
      </c>
      <c r="H68" s="289"/>
      <c r="I68" s="289">
        <v>0</v>
      </c>
      <c r="J68" s="218"/>
    </row>
    <row r="69" ht="15.75" customHeight="1" spans="1:10">
      <c r="A69" s="177">
        <v>52</v>
      </c>
      <c r="B69" s="105">
        <v>0</v>
      </c>
      <c r="C69" s="217" t="s">
        <v>30</v>
      </c>
      <c r="D69" s="218" t="s">
        <v>30</v>
      </c>
      <c r="E69" s="105" t="s">
        <v>30</v>
      </c>
      <c r="F69" s="105" t="s">
        <v>30</v>
      </c>
      <c r="G69" s="289" t="s">
        <v>30</v>
      </c>
      <c r="H69" s="289"/>
      <c r="I69" s="289">
        <v>0</v>
      </c>
      <c r="J69" s="218"/>
    </row>
    <row r="70" ht="15.75" customHeight="1" spans="1:10">
      <c r="A70" s="177">
        <v>53</v>
      </c>
      <c r="B70" s="105">
        <v>0</v>
      </c>
      <c r="C70" s="217" t="s">
        <v>30</v>
      </c>
      <c r="D70" s="218" t="s">
        <v>30</v>
      </c>
      <c r="E70" s="105" t="s">
        <v>30</v>
      </c>
      <c r="F70" s="105" t="s">
        <v>30</v>
      </c>
      <c r="G70" s="289" t="s">
        <v>30</v>
      </c>
      <c r="H70" s="289"/>
      <c r="I70" s="289">
        <v>0</v>
      </c>
      <c r="J70" s="218"/>
    </row>
    <row r="71" ht="15.75" customHeight="1" spans="1:10">
      <c r="A71" s="177">
        <v>54</v>
      </c>
      <c r="B71" s="105">
        <v>0</v>
      </c>
      <c r="C71" s="217" t="s">
        <v>30</v>
      </c>
      <c r="D71" s="218" t="s">
        <v>30</v>
      </c>
      <c r="E71" s="105" t="s">
        <v>30</v>
      </c>
      <c r="F71" s="105" t="s">
        <v>30</v>
      </c>
      <c r="G71" s="289" t="s">
        <v>30</v>
      </c>
      <c r="H71" s="289"/>
      <c r="I71" s="289">
        <v>0</v>
      </c>
      <c r="J71" s="218"/>
    </row>
    <row r="72" ht="15.75" customHeight="1" spans="1:10">
      <c r="A72" s="177">
        <v>55</v>
      </c>
      <c r="B72" s="105">
        <v>0</v>
      </c>
      <c r="C72" s="217" t="s">
        <v>30</v>
      </c>
      <c r="D72" s="218" t="s">
        <v>30</v>
      </c>
      <c r="E72" s="105" t="s">
        <v>30</v>
      </c>
      <c r="F72" s="105" t="s">
        <v>30</v>
      </c>
      <c r="G72" s="289" t="s">
        <v>30</v>
      </c>
      <c r="H72" s="289"/>
      <c r="I72" s="289">
        <v>0</v>
      </c>
      <c r="J72" s="218"/>
    </row>
    <row r="73" ht="15.75" customHeight="1" spans="1:10">
      <c r="A73" s="177">
        <v>56</v>
      </c>
      <c r="B73" s="105">
        <v>0</v>
      </c>
      <c r="C73" s="217" t="s">
        <v>30</v>
      </c>
      <c r="D73" s="218" t="s">
        <v>30</v>
      </c>
      <c r="E73" s="105" t="s">
        <v>30</v>
      </c>
      <c r="F73" s="105" t="s">
        <v>30</v>
      </c>
      <c r="G73" s="289" t="s">
        <v>30</v>
      </c>
      <c r="H73" s="289"/>
      <c r="I73" s="289">
        <v>0</v>
      </c>
      <c r="J73" s="218"/>
    </row>
    <row r="74" ht="15.75" customHeight="1" spans="1:10">
      <c r="A74" s="177">
        <v>57</v>
      </c>
      <c r="B74" s="105">
        <v>0</v>
      </c>
      <c r="C74" s="217" t="s">
        <v>30</v>
      </c>
      <c r="D74" s="218" t="s">
        <v>30</v>
      </c>
      <c r="E74" s="105" t="s">
        <v>30</v>
      </c>
      <c r="F74" s="105" t="s">
        <v>30</v>
      </c>
      <c r="G74" s="289" t="s">
        <v>30</v>
      </c>
      <c r="H74" s="289"/>
      <c r="I74" s="289">
        <v>0</v>
      </c>
      <c r="J74" s="218"/>
    </row>
    <row r="75" ht="15.75" customHeight="1" spans="1:10">
      <c r="A75" s="177">
        <v>58</v>
      </c>
      <c r="B75" s="105">
        <v>0</v>
      </c>
      <c r="C75" s="217" t="s">
        <v>30</v>
      </c>
      <c r="D75" s="218" t="s">
        <v>30</v>
      </c>
      <c r="E75" s="105" t="s">
        <v>30</v>
      </c>
      <c r="F75" s="105" t="s">
        <v>30</v>
      </c>
      <c r="G75" s="289" t="s">
        <v>30</v>
      </c>
      <c r="H75" s="289"/>
      <c r="I75" s="289">
        <v>0</v>
      </c>
      <c r="J75" s="218"/>
    </row>
    <row r="76" ht="15.75" customHeight="1" spans="1:10">
      <c r="A76" s="177">
        <v>59</v>
      </c>
      <c r="B76" s="105">
        <v>0</v>
      </c>
      <c r="C76" s="217" t="s">
        <v>30</v>
      </c>
      <c r="D76" s="218" t="s">
        <v>30</v>
      </c>
      <c r="E76" s="105" t="s">
        <v>30</v>
      </c>
      <c r="F76" s="105" t="s">
        <v>30</v>
      </c>
      <c r="G76" s="289" t="s">
        <v>30</v>
      </c>
      <c r="H76" s="289"/>
      <c r="I76" s="289">
        <v>0</v>
      </c>
      <c r="J76" s="218"/>
    </row>
    <row r="77" ht="15.75" customHeight="1" spans="1:10">
      <c r="A77" s="177">
        <v>60</v>
      </c>
      <c r="B77" s="105">
        <v>0</v>
      </c>
      <c r="C77" s="217" t="s">
        <v>30</v>
      </c>
      <c r="D77" s="218" t="s">
        <v>30</v>
      </c>
      <c r="E77" s="105" t="s">
        <v>30</v>
      </c>
      <c r="F77" s="105" t="s">
        <v>30</v>
      </c>
      <c r="G77" s="289" t="s">
        <v>30</v>
      </c>
      <c r="H77" s="289"/>
      <c r="I77" s="289">
        <v>0</v>
      </c>
      <c r="J77" s="218"/>
    </row>
    <row r="78" ht="15.75" customHeight="1" spans="1:10">
      <c r="A78" s="177">
        <v>61</v>
      </c>
      <c r="B78" s="105">
        <v>0</v>
      </c>
      <c r="C78" s="217" t="s">
        <v>30</v>
      </c>
      <c r="D78" s="218" t="s">
        <v>30</v>
      </c>
      <c r="E78" s="105" t="s">
        <v>30</v>
      </c>
      <c r="F78" s="105" t="s">
        <v>30</v>
      </c>
      <c r="G78" s="289" t="s">
        <v>30</v>
      </c>
      <c r="H78" s="289"/>
      <c r="I78" s="289">
        <v>0</v>
      </c>
      <c r="J78" s="218"/>
    </row>
    <row r="79" ht="15.75" customHeight="1" spans="1:10">
      <c r="A79" s="177">
        <v>62</v>
      </c>
      <c r="B79" s="105">
        <v>0</v>
      </c>
      <c r="C79" s="217" t="s">
        <v>30</v>
      </c>
      <c r="D79" s="218" t="s">
        <v>30</v>
      </c>
      <c r="E79" s="105" t="s">
        <v>30</v>
      </c>
      <c r="F79" s="105" t="s">
        <v>30</v>
      </c>
      <c r="G79" s="289" t="s">
        <v>30</v>
      </c>
      <c r="H79" s="289"/>
      <c r="I79" s="289">
        <v>0</v>
      </c>
      <c r="J79" s="218"/>
    </row>
    <row r="80" ht="15.75" customHeight="1" spans="1:10">
      <c r="A80" s="177">
        <v>63</v>
      </c>
      <c r="B80" s="105">
        <v>0</v>
      </c>
      <c r="C80" s="217" t="s">
        <v>30</v>
      </c>
      <c r="D80" s="218" t="s">
        <v>30</v>
      </c>
      <c r="E80" s="105" t="s">
        <v>30</v>
      </c>
      <c r="F80" s="105" t="s">
        <v>30</v>
      </c>
      <c r="G80" s="289" t="s">
        <v>30</v>
      </c>
      <c r="H80" s="289"/>
      <c r="I80" s="289">
        <v>0</v>
      </c>
      <c r="J80" s="218"/>
    </row>
    <row r="81" ht="15.75" customHeight="1" spans="1:10">
      <c r="A81" s="177">
        <v>64</v>
      </c>
      <c r="B81" s="105">
        <v>0</v>
      </c>
      <c r="C81" s="217" t="s">
        <v>30</v>
      </c>
      <c r="D81" s="218" t="s">
        <v>30</v>
      </c>
      <c r="E81" s="105" t="s">
        <v>30</v>
      </c>
      <c r="F81" s="105" t="s">
        <v>30</v>
      </c>
      <c r="G81" s="289" t="s">
        <v>30</v>
      </c>
      <c r="H81" s="289"/>
      <c r="I81" s="289">
        <v>0</v>
      </c>
      <c r="J81" s="218"/>
    </row>
    <row r="82" ht="15.75" customHeight="1" spans="1:10">
      <c r="A82" s="177">
        <v>65</v>
      </c>
      <c r="B82" s="105">
        <v>0</v>
      </c>
      <c r="C82" s="217" t="s">
        <v>30</v>
      </c>
      <c r="D82" s="218" t="s">
        <v>30</v>
      </c>
      <c r="E82" s="105" t="s">
        <v>30</v>
      </c>
      <c r="F82" s="105" t="s">
        <v>30</v>
      </c>
      <c r="G82" s="289" t="s">
        <v>30</v>
      </c>
      <c r="H82" s="289"/>
      <c r="I82" s="289">
        <v>0</v>
      </c>
      <c r="J82" s="218"/>
    </row>
    <row r="83" ht="15.75" customHeight="1" spans="1:10">
      <c r="A83" s="177">
        <v>66</v>
      </c>
      <c r="B83" s="105">
        <v>0</v>
      </c>
      <c r="C83" s="217" t="s">
        <v>30</v>
      </c>
      <c r="D83" s="218" t="s">
        <v>30</v>
      </c>
      <c r="E83" s="105" t="s">
        <v>30</v>
      </c>
      <c r="F83" s="105" t="s">
        <v>30</v>
      </c>
      <c r="G83" s="289" t="s">
        <v>30</v>
      </c>
      <c r="H83" s="289"/>
      <c r="I83" s="289">
        <v>0</v>
      </c>
      <c r="J83" s="218"/>
    </row>
    <row r="84" ht="15.75" customHeight="1" spans="1:10">
      <c r="A84" s="177">
        <v>67</v>
      </c>
      <c r="B84" s="105">
        <v>0</v>
      </c>
      <c r="C84" s="217" t="s">
        <v>30</v>
      </c>
      <c r="D84" s="218" t="s">
        <v>30</v>
      </c>
      <c r="E84" s="105" t="s">
        <v>30</v>
      </c>
      <c r="F84" s="105" t="s">
        <v>30</v>
      </c>
      <c r="G84" s="289" t="s">
        <v>30</v>
      </c>
      <c r="H84" s="289"/>
      <c r="I84" s="289">
        <v>0</v>
      </c>
      <c r="J84" s="218"/>
    </row>
    <row r="85" ht="15.75" customHeight="1" spans="1:10">
      <c r="A85" s="177">
        <v>68</v>
      </c>
      <c r="B85" s="105">
        <v>0</v>
      </c>
      <c r="C85" s="217" t="s">
        <v>30</v>
      </c>
      <c r="D85" s="218" t="s">
        <v>30</v>
      </c>
      <c r="E85" s="105" t="s">
        <v>30</v>
      </c>
      <c r="F85" s="105" t="s">
        <v>30</v>
      </c>
      <c r="G85" s="289" t="s">
        <v>30</v>
      </c>
      <c r="H85" s="289"/>
      <c r="I85" s="289">
        <v>0</v>
      </c>
      <c r="J85" s="218"/>
    </row>
    <row r="86" ht="15.75" customHeight="1" spans="1:10">
      <c r="A86" s="177">
        <v>69</v>
      </c>
      <c r="B86" s="105">
        <v>0</v>
      </c>
      <c r="C86" s="217" t="s">
        <v>30</v>
      </c>
      <c r="D86" s="218" t="s">
        <v>30</v>
      </c>
      <c r="E86" s="105" t="s">
        <v>30</v>
      </c>
      <c r="F86" s="105" t="s">
        <v>30</v>
      </c>
      <c r="G86" s="289" t="s">
        <v>30</v>
      </c>
      <c r="H86" s="289"/>
      <c r="I86" s="289">
        <v>0</v>
      </c>
      <c r="J86" s="218"/>
    </row>
    <row r="87" ht="15.75" customHeight="1" spans="1:10">
      <c r="A87" s="177">
        <v>70</v>
      </c>
      <c r="B87" s="105">
        <v>0</v>
      </c>
      <c r="C87" s="217" t="s">
        <v>30</v>
      </c>
      <c r="D87" s="218" t="s">
        <v>30</v>
      </c>
      <c r="E87" s="105" t="s">
        <v>30</v>
      </c>
      <c r="F87" s="105" t="s">
        <v>30</v>
      </c>
      <c r="G87" s="289" t="s">
        <v>30</v>
      </c>
      <c r="H87" s="289"/>
      <c r="I87" s="289">
        <v>0</v>
      </c>
      <c r="J87" s="218"/>
    </row>
    <row r="88" ht="15.75" customHeight="1" spans="1:10">
      <c r="A88" s="177">
        <v>71</v>
      </c>
      <c r="B88" s="105">
        <v>0</v>
      </c>
      <c r="C88" s="217" t="s">
        <v>30</v>
      </c>
      <c r="D88" s="218" t="s">
        <v>30</v>
      </c>
      <c r="E88" s="105" t="s">
        <v>30</v>
      </c>
      <c r="F88" s="105" t="s">
        <v>30</v>
      </c>
      <c r="G88" s="289" t="s">
        <v>30</v>
      </c>
      <c r="H88" s="289"/>
      <c r="I88" s="289">
        <v>0</v>
      </c>
      <c r="J88" s="218"/>
    </row>
    <row r="89" ht="15.75" customHeight="1" spans="1:10">
      <c r="A89" s="177">
        <v>72</v>
      </c>
      <c r="B89" s="105">
        <v>0</v>
      </c>
      <c r="C89" s="217" t="s">
        <v>30</v>
      </c>
      <c r="D89" s="218" t="s">
        <v>30</v>
      </c>
      <c r="E89" s="105" t="s">
        <v>30</v>
      </c>
      <c r="F89" s="105" t="s">
        <v>30</v>
      </c>
      <c r="G89" s="289" t="s">
        <v>30</v>
      </c>
      <c r="H89" s="289"/>
      <c r="I89" s="289">
        <v>0</v>
      </c>
      <c r="J89" s="218"/>
    </row>
    <row r="90" s="204" customFormat="1" ht="15.75" customHeight="1" spans="1:10">
      <c r="A90" s="206"/>
      <c r="B90" s="189" t="s">
        <v>32</v>
      </c>
      <c r="C90" s="235"/>
      <c r="E90" s="206"/>
      <c r="F90" s="177"/>
      <c r="G90" s="209"/>
      <c r="H90" s="209"/>
      <c r="I90" s="209"/>
      <c r="J90" s="225" t="s">
        <v>113</v>
      </c>
    </row>
  </sheetData>
  <sheetProtection password="CEAA" sheet="1"/>
  <mergeCells count="24">
    <mergeCell ref="B1:J1"/>
    <mergeCell ref="G3:H3"/>
    <mergeCell ref="I3:J3"/>
    <mergeCell ref="B31:J31"/>
    <mergeCell ref="G33:H33"/>
    <mergeCell ref="I33:J33"/>
    <mergeCell ref="B61:J61"/>
    <mergeCell ref="G63:H63"/>
    <mergeCell ref="I63:J63"/>
    <mergeCell ref="B3:B4"/>
    <mergeCell ref="B33:B34"/>
    <mergeCell ref="B63:B64"/>
    <mergeCell ref="C3:C4"/>
    <mergeCell ref="C33:C34"/>
    <mergeCell ref="C63:C64"/>
    <mergeCell ref="D3:D4"/>
    <mergeCell ref="D33:D34"/>
    <mergeCell ref="D63:D64"/>
    <mergeCell ref="E3:E4"/>
    <mergeCell ref="E33:E34"/>
    <mergeCell ref="E63:E64"/>
    <mergeCell ref="F3:F4"/>
    <mergeCell ref="F33:F34"/>
    <mergeCell ref="F63:F64"/>
  </mergeCells>
  <pageMargins left="0.708661417322835" right="0.708661417322835" top="0.748031496062992" bottom="0.748031496062992" header="0.31496062992126" footer="0.31496062992126"/>
  <pageSetup paperSize="9" scale="87" orientation="landscape"/>
  <headerFooter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view="pageBreakPreview" zoomScaleNormal="100" workbookViewId="0">
      <pane xSplit="7" ySplit="3" topLeftCell="H25" activePane="bottomRight" state="frozen"/>
      <selection/>
      <selection pane="topRight"/>
      <selection pane="bottomLeft"/>
      <selection pane="bottomRight" activeCell="G40" sqref="G40"/>
    </sheetView>
  </sheetViews>
  <sheetFormatPr defaultColWidth="9" defaultRowHeight="13.5" outlineLevelCol="7"/>
  <cols>
    <col min="1" max="1" width="5.625" style="269" customWidth="1"/>
    <col min="2" max="2" width="21.7583333333333" style="269" customWidth="1"/>
    <col min="3" max="3" width="23.125" style="269" customWidth="1"/>
    <col min="4" max="7" width="11.7583333333333" style="270" customWidth="1"/>
    <col min="8" max="8" width="15" style="269" customWidth="1"/>
    <col min="9" max="9" width="11.125" style="269"/>
    <col min="10" max="256" width="8.125" style="269"/>
    <col min="257" max="257" width="5.625" style="269" customWidth="1"/>
    <col min="258" max="258" width="21.7583333333333" style="269" customWidth="1"/>
    <col min="259" max="259" width="23.125" style="269" customWidth="1"/>
    <col min="260" max="263" width="11.7583333333333" style="269" customWidth="1"/>
    <col min="264" max="264" width="15" style="269" customWidth="1"/>
    <col min="265" max="512" width="8.125" style="269"/>
    <col min="513" max="513" width="5.625" style="269" customWidth="1"/>
    <col min="514" max="514" width="21.7583333333333" style="269" customWidth="1"/>
    <col min="515" max="515" width="23.125" style="269" customWidth="1"/>
    <col min="516" max="519" width="11.7583333333333" style="269" customWidth="1"/>
    <col min="520" max="520" width="15" style="269" customWidth="1"/>
    <col min="521" max="768" width="8.125" style="269"/>
    <col min="769" max="769" width="5.625" style="269" customWidth="1"/>
    <col min="770" max="770" width="21.7583333333333" style="269" customWidth="1"/>
    <col min="771" max="771" width="23.125" style="269" customWidth="1"/>
    <col min="772" max="775" width="11.7583333333333" style="269" customWidth="1"/>
    <col min="776" max="776" width="15" style="269" customWidth="1"/>
    <col min="777" max="1024" width="8.125" style="269"/>
    <col min="1025" max="1025" width="5.625" style="269" customWidth="1"/>
    <col min="1026" max="1026" width="21.7583333333333" style="269" customWidth="1"/>
    <col min="1027" max="1027" width="23.125" style="269" customWidth="1"/>
    <col min="1028" max="1031" width="11.7583333333333" style="269" customWidth="1"/>
    <col min="1032" max="1032" width="15" style="269" customWidth="1"/>
    <col min="1033" max="1280" width="8.125" style="269"/>
    <col min="1281" max="1281" width="5.625" style="269" customWidth="1"/>
    <col min="1282" max="1282" width="21.7583333333333" style="269" customWidth="1"/>
    <col min="1283" max="1283" width="23.125" style="269" customWidth="1"/>
    <col min="1284" max="1287" width="11.7583333333333" style="269" customWidth="1"/>
    <col min="1288" max="1288" width="15" style="269" customWidth="1"/>
    <col min="1289" max="1536" width="8.125" style="269"/>
    <col min="1537" max="1537" width="5.625" style="269" customWidth="1"/>
    <col min="1538" max="1538" width="21.7583333333333" style="269" customWidth="1"/>
    <col min="1539" max="1539" width="23.125" style="269" customWidth="1"/>
    <col min="1540" max="1543" width="11.7583333333333" style="269" customWidth="1"/>
    <col min="1544" max="1544" width="15" style="269" customWidth="1"/>
    <col min="1545" max="1792" width="8.125" style="269"/>
    <col min="1793" max="1793" width="5.625" style="269" customWidth="1"/>
    <col min="1794" max="1794" width="21.7583333333333" style="269" customWidth="1"/>
    <col min="1795" max="1795" width="23.125" style="269" customWidth="1"/>
    <col min="1796" max="1799" width="11.7583333333333" style="269" customWidth="1"/>
    <col min="1800" max="1800" width="15" style="269" customWidth="1"/>
    <col min="1801" max="2048" width="8.125" style="269"/>
    <col min="2049" max="2049" width="5.625" style="269" customWidth="1"/>
    <col min="2050" max="2050" width="21.7583333333333" style="269" customWidth="1"/>
    <col min="2051" max="2051" width="23.125" style="269" customWidth="1"/>
    <col min="2052" max="2055" width="11.7583333333333" style="269" customWidth="1"/>
    <col min="2056" max="2056" width="15" style="269" customWidth="1"/>
    <col min="2057" max="2304" width="8.125" style="269"/>
    <col min="2305" max="2305" width="5.625" style="269" customWidth="1"/>
    <col min="2306" max="2306" width="21.7583333333333" style="269" customWidth="1"/>
    <col min="2307" max="2307" width="23.125" style="269" customWidth="1"/>
    <col min="2308" max="2311" width="11.7583333333333" style="269" customWidth="1"/>
    <col min="2312" max="2312" width="15" style="269" customWidth="1"/>
    <col min="2313" max="2560" width="8.125" style="269"/>
    <col min="2561" max="2561" width="5.625" style="269" customWidth="1"/>
    <col min="2562" max="2562" width="21.7583333333333" style="269" customWidth="1"/>
    <col min="2563" max="2563" width="23.125" style="269" customWidth="1"/>
    <col min="2564" max="2567" width="11.7583333333333" style="269" customWidth="1"/>
    <col min="2568" max="2568" width="15" style="269" customWidth="1"/>
    <col min="2569" max="2816" width="8.125" style="269"/>
    <col min="2817" max="2817" width="5.625" style="269" customWidth="1"/>
    <col min="2818" max="2818" width="21.7583333333333" style="269" customWidth="1"/>
    <col min="2819" max="2819" width="23.125" style="269" customWidth="1"/>
    <col min="2820" max="2823" width="11.7583333333333" style="269" customWidth="1"/>
    <col min="2824" max="2824" width="15" style="269" customWidth="1"/>
    <col min="2825" max="3072" width="8.125" style="269"/>
    <col min="3073" max="3073" width="5.625" style="269" customWidth="1"/>
    <col min="3074" max="3074" width="21.7583333333333" style="269" customWidth="1"/>
    <col min="3075" max="3075" width="23.125" style="269" customWidth="1"/>
    <col min="3076" max="3079" width="11.7583333333333" style="269" customWidth="1"/>
    <col min="3080" max="3080" width="15" style="269" customWidth="1"/>
    <col min="3081" max="3328" width="8.125" style="269"/>
    <col min="3329" max="3329" width="5.625" style="269" customWidth="1"/>
    <col min="3330" max="3330" width="21.7583333333333" style="269" customWidth="1"/>
    <col min="3331" max="3331" width="23.125" style="269" customWidth="1"/>
    <col min="3332" max="3335" width="11.7583333333333" style="269" customWidth="1"/>
    <col min="3336" max="3336" width="15" style="269" customWidth="1"/>
    <col min="3337" max="3584" width="8.125" style="269"/>
    <col min="3585" max="3585" width="5.625" style="269" customWidth="1"/>
    <col min="3586" max="3586" width="21.7583333333333" style="269" customWidth="1"/>
    <col min="3587" max="3587" width="23.125" style="269" customWidth="1"/>
    <col min="3588" max="3591" width="11.7583333333333" style="269" customWidth="1"/>
    <col min="3592" max="3592" width="15" style="269" customWidth="1"/>
    <col min="3593" max="3840" width="8.125" style="269"/>
    <col min="3841" max="3841" width="5.625" style="269" customWidth="1"/>
    <col min="3842" max="3842" width="21.7583333333333" style="269" customWidth="1"/>
    <col min="3843" max="3843" width="23.125" style="269" customWidth="1"/>
    <col min="3844" max="3847" width="11.7583333333333" style="269" customWidth="1"/>
    <col min="3848" max="3848" width="15" style="269" customWidth="1"/>
    <col min="3849" max="4096" width="8.125" style="269"/>
    <col min="4097" max="4097" width="5.625" style="269" customWidth="1"/>
    <col min="4098" max="4098" width="21.7583333333333" style="269" customWidth="1"/>
    <col min="4099" max="4099" width="23.125" style="269" customWidth="1"/>
    <col min="4100" max="4103" width="11.7583333333333" style="269" customWidth="1"/>
    <col min="4104" max="4104" width="15" style="269" customWidth="1"/>
    <col min="4105" max="4352" width="8.125" style="269"/>
    <col min="4353" max="4353" width="5.625" style="269" customWidth="1"/>
    <col min="4354" max="4354" width="21.7583333333333" style="269" customWidth="1"/>
    <col min="4355" max="4355" width="23.125" style="269" customWidth="1"/>
    <col min="4356" max="4359" width="11.7583333333333" style="269" customWidth="1"/>
    <col min="4360" max="4360" width="15" style="269" customWidth="1"/>
    <col min="4361" max="4608" width="8.125" style="269"/>
    <col min="4609" max="4609" width="5.625" style="269" customWidth="1"/>
    <col min="4610" max="4610" width="21.7583333333333" style="269" customWidth="1"/>
    <col min="4611" max="4611" width="23.125" style="269" customWidth="1"/>
    <col min="4612" max="4615" width="11.7583333333333" style="269" customWidth="1"/>
    <col min="4616" max="4616" width="15" style="269" customWidth="1"/>
    <col min="4617" max="4864" width="8.125" style="269"/>
    <col min="4865" max="4865" width="5.625" style="269" customWidth="1"/>
    <col min="4866" max="4866" width="21.7583333333333" style="269" customWidth="1"/>
    <col min="4867" max="4867" width="23.125" style="269" customWidth="1"/>
    <col min="4868" max="4871" width="11.7583333333333" style="269" customWidth="1"/>
    <col min="4872" max="4872" width="15" style="269" customWidth="1"/>
    <col min="4873" max="5120" width="8.125" style="269"/>
    <col min="5121" max="5121" width="5.625" style="269" customWidth="1"/>
    <col min="5122" max="5122" width="21.7583333333333" style="269" customWidth="1"/>
    <col min="5123" max="5123" width="23.125" style="269" customWidth="1"/>
    <col min="5124" max="5127" width="11.7583333333333" style="269" customWidth="1"/>
    <col min="5128" max="5128" width="15" style="269" customWidth="1"/>
    <col min="5129" max="5376" width="8.125" style="269"/>
    <col min="5377" max="5377" width="5.625" style="269" customWidth="1"/>
    <col min="5378" max="5378" width="21.7583333333333" style="269" customWidth="1"/>
    <col min="5379" max="5379" width="23.125" style="269" customWidth="1"/>
    <col min="5380" max="5383" width="11.7583333333333" style="269" customWidth="1"/>
    <col min="5384" max="5384" width="15" style="269" customWidth="1"/>
    <col min="5385" max="5632" width="8.125" style="269"/>
    <col min="5633" max="5633" width="5.625" style="269" customWidth="1"/>
    <col min="5634" max="5634" width="21.7583333333333" style="269" customWidth="1"/>
    <col min="5635" max="5635" width="23.125" style="269" customWidth="1"/>
    <col min="5636" max="5639" width="11.7583333333333" style="269" customWidth="1"/>
    <col min="5640" max="5640" width="15" style="269" customWidth="1"/>
    <col min="5641" max="5888" width="8.125" style="269"/>
    <col min="5889" max="5889" width="5.625" style="269" customWidth="1"/>
    <col min="5890" max="5890" width="21.7583333333333" style="269" customWidth="1"/>
    <col min="5891" max="5891" width="23.125" style="269" customWidth="1"/>
    <col min="5892" max="5895" width="11.7583333333333" style="269" customWidth="1"/>
    <col min="5896" max="5896" width="15" style="269" customWidth="1"/>
    <col min="5897" max="6144" width="8.125" style="269"/>
    <col min="6145" max="6145" width="5.625" style="269" customWidth="1"/>
    <col min="6146" max="6146" width="21.7583333333333" style="269" customWidth="1"/>
    <col min="6147" max="6147" width="23.125" style="269" customWidth="1"/>
    <col min="6148" max="6151" width="11.7583333333333" style="269" customWidth="1"/>
    <col min="6152" max="6152" width="15" style="269" customWidth="1"/>
    <col min="6153" max="6400" width="8.125" style="269"/>
    <col min="6401" max="6401" width="5.625" style="269" customWidth="1"/>
    <col min="6402" max="6402" width="21.7583333333333" style="269" customWidth="1"/>
    <col min="6403" max="6403" width="23.125" style="269" customWidth="1"/>
    <col min="6404" max="6407" width="11.7583333333333" style="269" customWidth="1"/>
    <col min="6408" max="6408" width="15" style="269" customWidth="1"/>
    <col min="6409" max="6656" width="8.125" style="269"/>
    <col min="6657" max="6657" width="5.625" style="269" customWidth="1"/>
    <col min="6658" max="6658" width="21.7583333333333" style="269" customWidth="1"/>
    <col min="6659" max="6659" width="23.125" style="269" customWidth="1"/>
    <col min="6660" max="6663" width="11.7583333333333" style="269" customWidth="1"/>
    <col min="6664" max="6664" width="15" style="269" customWidth="1"/>
    <col min="6665" max="6912" width="8.125" style="269"/>
    <col min="6913" max="6913" width="5.625" style="269" customWidth="1"/>
    <col min="6914" max="6914" width="21.7583333333333" style="269" customWidth="1"/>
    <col min="6915" max="6915" width="23.125" style="269" customWidth="1"/>
    <col min="6916" max="6919" width="11.7583333333333" style="269" customWidth="1"/>
    <col min="6920" max="6920" width="15" style="269" customWidth="1"/>
    <col min="6921" max="7168" width="8.125" style="269"/>
    <col min="7169" max="7169" width="5.625" style="269" customWidth="1"/>
    <col min="7170" max="7170" width="21.7583333333333" style="269" customWidth="1"/>
    <col min="7171" max="7171" width="23.125" style="269" customWidth="1"/>
    <col min="7172" max="7175" width="11.7583333333333" style="269" customWidth="1"/>
    <col min="7176" max="7176" width="15" style="269" customWidth="1"/>
    <col min="7177" max="7424" width="8.125" style="269"/>
    <col min="7425" max="7425" width="5.625" style="269" customWidth="1"/>
    <col min="7426" max="7426" width="21.7583333333333" style="269" customWidth="1"/>
    <col min="7427" max="7427" width="23.125" style="269" customWidth="1"/>
    <col min="7428" max="7431" width="11.7583333333333" style="269" customWidth="1"/>
    <col min="7432" max="7432" width="15" style="269" customWidth="1"/>
    <col min="7433" max="7680" width="8.125" style="269"/>
    <col min="7681" max="7681" width="5.625" style="269" customWidth="1"/>
    <col min="7682" max="7682" width="21.7583333333333" style="269" customWidth="1"/>
    <col min="7683" max="7683" width="23.125" style="269" customWidth="1"/>
    <col min="7684" max="7687" width="11.7583333333333" style="269" customWidth="1"/>
    <col min="7688" max="7688" width="15" style="269" customWidth="1"/>
    <col min="7689" max="7936" width="8.125" style="269"/>
    <col min="7937" max="7937" width="5.625" style="269" customWidth="1"/>
    <col min="7938" max="7938" width="21.7583333333333" style="269" customWidth="1"/>
    <col min="7939" max="7939" width="23.125" style="269" customWidth="1"/>
    <col min="7940" max="7943" width="11.7583333333333" style="269" customWidth="1"/>
    <col min="7944" max="7944" width="15" style="269" customWidth="1"/>
    <col min="7945" max="8192" width="8.125" style="269"/>
    <col min="8193" max="8193" width="5.625" style="269" customWidth="1"/>
    <col min="8194" max="8194" width="21.7583333333333" style="269" customWidth="1"/>
    <col min="8195" max="8195" width="23.125" style="269" customWidth="1"/>
    <col min="8196" max="8199" width="11.7583333333333" style="269" customWidth="1"/>
    <col min="8200" max="8200" width="15" style="269" customWidth="1"/>
    <col min="8201" max="8448" width="8.125" style="269"/>
    <col min="8449" max="8449" width="5.625" style="269" customWidth="1"/>
    <col min="8450" max="8450" width="21.7583333333333" style="269" customWidth="1"/>
    <col min="8451" max="8451" width="23.125" style="269" customWidth="1"/>
    <col min="8452" max="8455" width="11.7583333333333" style="269" customWidth="1"/>
    <col min="8456" max="8456" width="15" style="269" customWidth="1"/>
    <col min="8457" max="8704" width="8.125" style="269"/>
    <col min="8705" max="8705" width="5.625" style="269" customWidth="1"/>
    <col min="8706" max="8706" width="21.7583333333333" style="269" customWidth="1"/>
    <col min="8707" max="8707" width="23.125" style="269" customWidth="1"/>
    <col min="8708" max="8711" width="11.7583333333333" style="269" customWidth="1"/>
    <col min="8712" max="8712" width="15" style="269" customWidth="1"/>
    <col min="8713" max="8960" width="8.125" style="269"/>
    <col min="8961" max="8961" width="5.625" style="269" customWidth="1"/>
    <col min="8962" max="8962" width="21.7583333333333" style="269" customWidth="1"/>
    <col min="8963" max="8963" width="23.125" style="269" customWidth="1"/>
    <col min="8964" max="8967" width="11.7583333333333" style="269" customWidth="1"/>
    <col min="8968" max="8968" width="15" style="269" customWidth="1"/>
    <col min="8969" max="9216" width="8.125" style="269"/>
    <col min="9217" max="9217" width="5.625" style="269" customWidth="1"/>
    <col min="9218" max="9218" width="21.7583333333333" style="269" customWidth="1"/>
    <col min="9219" max="9219" width="23.125" style="269" customWidth="1"/>
    <col min="9220" max="9223" width="11.7583333333333" style="269" customWidth="1"/>
    <col min="9224" max="9224" width="15" style="269" customWidth="1"/>
    <col min="9225" max="9472" width="8.125" style="269"/>
    <col min="9473" max="9473" width="5.625" style="269" customWidth="1"/>
    <col min="9474" max="9474" width="21.7583333333333" style="269" customWidth="1"/>
    <col min="9475" max="9475" width="23.125" style="269" customWidth="1"/>
    <col min="9476" max="9479" width="11.7583333333333" style="269" customWidth="1"/>
    <col min="9480" max="9480" width="15" style="269" customWidth="1"/>
    <col min="9481" max="9728" width="8.125" style="269"/>
    <col min="9729" max="9729" width="5.625" style="269" customWidth="1"/>
    <col min="9730" max="9730" width="21.7583333333333" style="269" customWidth="1"/>
    <col min="9731" max="9731" width="23.125" style="269" customWidth="1"/>
    <col min="9732" max="9735" width="11.7583333333333" style="269" customWidth="1"/>
    <col min="9736" max="9736" width="15" style="269" customWidth="1"/>
    <col min="9737" max="9984" width="8.125" style="269"/>
    <col min="9985" max="9985" width="5.625" style="269" customWidth="1"/>
    <col min="9986" max="9986" width="21.7583333333333" style="269" customWidth="1"/>
    <col min="9987" max="9987" width="23.125" style="269" customWidth="1"/>
    <col min="9988" max="9991" width="11.7583333333333" style="269" customWidth="1"/>
    <col min="9992" max="9992" width="15" style="269" customWidth="1"/>
    <col min="9993" max="10240" width="8.125" style="269"/>
    <col min="10241" max="10241" width="5.625" style="269" customWidth="1"/>
    <col min="10242" max="10242" width="21.7583333333333" style="269" customWidth="1"/>
    <col min="10243" max="10243" width="23.125" style="269" customWidth="1"/>
    <col min="10244" max="10247" width="11.7583333333333" style="269" customWidth="1"/>
    <col min="10248" max="10248" width="15" style="269" customWidth="1"/>
    <col min="10249" max="10496" width="8.125" style="269"/>
    <col min="10497" max="10497" width="5.625" style="269" customWidth="1"/>
    <col min="10498" max="10498" width="21.7583333333333" style="269" customWidth="1"/>
    <col min="10499" max="10499" width="23.125" style="269" customWidth="1"/>
    <col min="10500" max="10503" width="11.7583333333333" style="269" customWidth="1"/>
    <col min="10504" max="10504" width="15" style="269" customWidth="1"/>
    <col min="10505" max="10752" width="8.125" style="269"/>
    <col min="10753" max="10753" width="5.625" style="269" customWidth="1"/>
    <col min="10754" max="10754" width="21.7583333333333" style="269" customWidth="1"/>
    <col min="10755" max="10755" width="23.125" style="269" customWidth="1"/>
    <col min="10756" max="10759" width="11.7583333333333" style="269" customWidth="1"/>
    <col min="10760" max="10760" width="15" style="269" customWidth="1"/>
    <col min="10761" max="11008" width="8.125" style="269"/>
    <col min="11009" max="11009" width="5.625" style="269" customWidth="1"/>
    <col min="11010" max="11010" width="21.7583333333333" style="269" customWidth="1"/>
    <col min="11011" max="11011" width="23.125" style="269" customWidth="1"/>
    <col min="11012" max="11015" width="11.7583333333333" style="269" customWidth="1"/>
    <col min="11016" max="11016" width="15" style="269" customWidth="1"/>
    <col min="11017" max="11264" width="8.125" style="269"/>
    <col min="11265" max="11265" width="5.625" style="269" customWidth="1"/>
    <col min="11266" max="11266" width="21.7583333333333" style="269" customWidth="1"/>
    <col min="11267" max="11267" width="23.125" style="269" customWidth="1"/>
    <col min="11268" max="11271" width="11.7583333333333" style="269" customWidth="1"/>
    <col min="11272" max="11272" width="15" style="269" customWidth="1"/>
    <col min="11273" max="11520" width="8.125" style="269"/>
    <col min="11521" max="11521" width="5.625" style="269" customWidth="1"/>
    <col min="11522" max="11522" width="21.7583333333333" style="269" customWidth="1"/>
    <col min="11523" max="11523" width="23.125" style="269" customWidth="1"/>
    <col min="11524" max="11527" width="11.7583333333333" style="269" customWidth="1"/>
    <col min="11528" max="11528" width="15" style="269" customWidth="1"/>
    <col min="11529" max="11776" width="8.125" style="269"/>
    <col min="11777" max="11777" width="5.625" style="269" customWidth="1"/>
    <col min="11778" max="11778" width="21.7583333333333" style="269" customWidth="1"/>
    <col min="11779" max="11779" width="23.125" style="269" customWidth="1"/>
    <col min="11780" max="11783" width="11.7583333333333" style="269" customWidth="1"/>
    <col min="11784" max="11784" width="15" style="269" customWidth="1"/>
    <col min="11785" max="12032" width="8.125" style="269"/>
    <col min="12033" max="12033" width="5.625" style="269" customWidth="1"/>
    <col min="12034" max="12034" width="21.7583333333333" style="269" customWidth="1"/>
    <col min="12035" max="12035" width="23.125" style="269" customWidth="1"/>
    <col min="12036" max="12039" width="11.7583333333333" style="269" customWidth="1"/>
    <col min="12040" max="12040" width="15" style="269" customWidth="1"/>
    <col min="12041" max="12288" width="8.125" style="269"/>
    <col min="12289" max="12289" width="5.625" style="269" customWidth="1"/>
    <col min="12290" max="12290" width="21.7583333333333" style="269" customWidth="1"/>
    <col min="12291" max="12291" width="23.125" style="269" customWidth="1"/>
    <col min="12292" max="12295" width="11.7583333333333" style="269" customWidth="1"/>
    <col min="12296" max="12296" width="15" style="269" customWidth="1"/>
    <col min="12297" max="12544" width="8.125" style="269"/>
    <col min="12545" max="12545" width="5.625" style="269" customWidth="1"/>
    <col min="12546" max="12546" width="21.7583333333333" style="269" customWidth="1"/>
    <col min="12547" max="12547" width="23.125" style="269" customWidth="1"/>
    <col min="12548" max="12551" width="11.7583333333333" style="269" customWidth="1"/>
    <col min="12552" max="12552" width="15" style="269" customWidth="1"/>
    <col min="12553" max="12800" width="8.125" style="269"/>
    <col min="12801" max="12801" width="5.625" style="269" customWidth="1"/>
    <col min="12802" max="12802" width="21.7583333333333" style="269" customWidth="1"/>
    <col min="12803" max="12803" width="23.125" style="269" customWidth="1"/>
    <col min="12804" max="12807" width="11.7583333333333" style="269" customWidth="1"/>
    <col min="12808" max="12808" width="15" style="269" customWidth="1"/>
    <col min="12809" max="13056" width="8.125" style="269"/>
    <col min="13057" max="13057" width="5.625" style="269" customWidth="1"/>
    <col min="13058" max="13058" width="21.7583333333333" style="269" customWidth="1"/>
    <col min="13059" max="13059" width="23.125" style="269" customWidth="1"/>
    <col min="13060" max="13063" width="11.7583333333333" style="269" customWidth="1"/>
    <col min="13064" max="13064" width="15" style="269" customWidth="1"/>
    <col min="13065" max="13312" width="8.125" style="269"/>
    <col min="13313" max="13313" width="5.625" style="269" customWidth="1"/>
    <col min="13314" max="13314" width="21.7583333333333" style="269" customWidth="1"/>
    <col min="13315" max="13315" width="23.125" style="269" customWidth="1"/>
    <col min="13316" max="13319" width="11.7583333333333" style="269" customWidth="1"/>
    <col min="13320" max="13320" width="15" style="269" customWidth="1"/>
    <col min="13321" max="13568" width="8.125" style="269"/>
    <col min="13569" max="13569" width="5.625" style="269" customWidth="1"/>
    <col min="13570" max="13570" width="21.7583333333333" style="269" customWidth="1"/>
    <col min="13571" max="13571" width="23.125" style="269" customWidth="1"/>
    <col min="13572" max="13575" width="11.7583333333333" style="269" customWidth="1"/>
    <col min="13576" max="13576" width="15" style="269" customWidth="1"/>
    <col min="13577" max="13824" width="8.125" style="269"/>
    <col min="13825" max="13825" width="5.625" style="269" customWidth="1"/>
    <col min="13826" max="13826" width="21.7583333333333" style="269" customWidth="1"/>
    <col min="13827" max="13827" width="23.125" style="269" customWidth="1"/>
    <col min="13828" max="13831" width="11.7583333333333" style="269" customWidth="1"/>
    <col min="13832" max="13832" width="15" style="269" customWidth="1"/>
    <col min="13833" max="14080" width="8.125" style="269"/>
    <col min="14081" max="14081" width="5.625" style="269" customWidth="1"/>
    <col min="14082" max="14082" width="21.7583333333333" style="269" customWidth="1"/>
    <col min="14083" max="14083" width="23.125" style="269" customWidth="1"/>
    <col min="14084" max="14087" width="11.7583333333333" style="269" customWidth="1"/>
    <col min="14088" max="14088" width="15" style="269" customWidth="1"/>
    <col min="14089" max="14336" width="8.125" style="269"/>
    <col min="14337" max="14337" width="5.625" style="269" customWidth="1"/>
    <col min="14338" max="14338" width="21.7583333333333" style="269" customWidth="1"/>
    <col min="14339" max="14339" width="23.125" style="269" customWidth="1"/>
    <col min="14340" max="14343" width="11.7583333333333" style="269" customWidth="1"/>
    <col min="14344" max="14344" width="15" style="269" customWidth="1"/>
    <col min="14345" max="14592" width="8.125" style="269"/>
    <col min="14593" max="14593" width="5.625" style="269" customWidth="1"/>
    <col min="14594" max="14594" width="21.7583333333333" style="269" customWidth="1"/>
    <col min="14595" max="14595" width="23.125" style="269" customWidth="1"/>
    <col min="14596" max="14599" width="11.7583333333333" style="269" customWidth="1"/>
    <col min="14600" max="14600" width="15" style="269" customWidth="1"/>
    <col min="14601" max="14848" width="8.125" style="269"/>
    <col min="14849" max="14849" width="5.625" style="269" customWidth="1"/>
    <col min="14850" max="14850" width="21.7583333333333" style="269" customWidth="1"/>
    <col min="14851" max="14851" width="23.125" style="269" customWidth="1"/>
    <col min="14852" max="14855" width="11.7583333333333" style="269" customWidth="1"/>
    <col min="14856" max="14856" width="15" style="269" customWidth="1"/>
    <col min="14857" max="15104" width="8.125" style="269"/>
    <col min="15105" max="15105" width="5.625" style="269" customWidth="1"/>
    <col min="15106" max="15106" width="21.7583333333333" style="269" customWidth="1"/>
    <col min="15107" max="15107" width="23.125" style="269" customWidth="1"/>
    <col min="15108" max="15111" width="11.7583333333333" style="269" customWidth="1"/>
    <col min="15112" max="15112" width="15" style="269" customWidth="1"/>
    <col min="15113" max="15360" width="8.125" style="269"/>
    <col min="15361" max="15361" width="5.625" style="269" customWidth="1"/>
    <col min="15362" max="15362" width="21.7583333333333" style="269" customWidth="1"/>
    <col min="15363" max="15363" width="23.125" style="269" customWidth="1"/>
    <col min="15364" max="15367" width="11.7583333333333" style="269" customWidth="1"/>
    <col min="15368" max="15368" width="15" style="269" customWidth="1"/>
    <col min="15369" max="15616" width="8.125" style="269"/>
    <col min="15617" max="15617" width="5.625" style="269" customWidth="1"/>
    <col min="15618" max="15618" width="21.7583333333333" style="269" customWidth="1"/>
    <col min="15619" max="15619" width="23.125" style="269" customWidth="1"/>
    <col min="15620" max="15623" width="11.7583333333333" style="269" customWidth="1"/>
    <col min="15624" max="15624" width="15" style="269" customWidth="1"/>
    <col min="15625" max="15872" width="8.125" style="269"/>
    <col min="15873" max="15873" width="5.625" style="269" customWidth="1"/>
    <col min="15874" max="15874" width="21.7583333333333" style="269" customWidth="1"/>
    <col min="15875" max="15875" width="23.125" style="269" customWidth="1"/>
    <col min="15876" max="15879" width="11.7583333333333" style="269" customWidth="1"/>
    <col min="15880" max="15880" width="15" style="269" customWidth="1"/>
    <col min="15881" max="16128" width="8.125" style="269"/>
    <col min="16129" max="16129" width="5.625" style="269" customWidth="1"/>
    <col min="16130" max="16130" width="21.7583333333333" style="269" customWidth="1"/>
    <col min="16131" max="16131" width="23.125" style="269" customWidth="1"/>
    <col min="16132" max="16135" width="11.7583333333333" style="269" customWidth="1"/>
    <col min="16136" max="16136" width="15" style="269" customWidth="1"/>
    <col min="16137" max="16384" width="8.125" style="269"/>
  </cols>
  <sheetData>
    <row r="1" s="176" customFormat="1" ht="33" customHeight="1" spans="1:7">
      <c r="A1" s="271" t="s">
        <v>188</v>
      </c>
      <c r="B1" s="271"/>
      <c r="C1" s="271"/>
      <c r="D1" s="271"/>
      <c r="E1" s="271"/>
      <c r="F1" s="271"/>
      <c r="G1" s="271"/>
    </row>
    <row r="2" s="267" customFormat="1" ht="21" customHeight="1" spans="1:7">
      <c r="A2" s="272" t="str">
        <f>表一!A2</f>
        <v>工程名称：杭州钱塘区下沙街道开发区电力隧道（一期二标）信号覆盖建设工程</v>
      </c>
      <c r="B2" s="272"/>
      <c r="C2" s="272"/>
      <c r="D2" s="273"/>
      <c r="E2" s="274"/>
      <c r="F2" s="274"/>
      <c r="G2" s="275" t="s">
        <v>3</v>
      </c>
    </row>
    <row r="3" s="268" customFormat="1" ht="31" customHeight="1" spans="1:8">
      <c r="A3" s="276" t="s">
        <v>4</v>
      </c>
      <c r="B3" s="277" t="s">
        <v>189</v>
      </c>
      <c r="C3" s="277" t="s">
        <v>36</v>
      </c>
      <c r="D3" s="278" t="s">
        <v>7</v>
      </c>
      <c r="E3" s="277" t="s">
        <v>8</v>
      </c>
      <c r="F3" s="277" t="s">
        <v>9</v>
      </c>
      <c r="G3" s="277" t="s">
        <v>10</v>
      </c>
      <c r="H3" s="279" t="s">
        <v>190</v>
      </c>
    </row>
    <row r="4" s="176" customFormat="1" ht="25" customHeight="1" spans="1:8">
      <c r="A4" s="53"/>
      <c r="B4" s="185" t="s">
        <v>42</v>
      </c>
      <c r="C4" s="280" t="s">
        <v>43</v>
      </c>
      <c r="D4" s="281">
        <v>1458669.19862387</v>
      </c>
      <c r="E4" s="16">
        <f>E5+E40</f>
        <v>1304992.87158207</v>
      </c>
      <c r="F4" s="16"/>
      <c r="G4" s="16">
        <f>D4-E4</f>
        <v>153676.327041797</v>
      </c>
      <c r="H4" s="234"/>
    </row>
    <row r="5" s="176" customFormat="1" ht="25" customHeight="1" spans="1:8">
      <c r="A5" s="53"/>
      <c r="B5" s="185" t="s">
        <v>45</v>
      </c>
      <c r="C5" s="280" t="s">
        <v>46</v>
      </c>
      <c r="D5" s="281">
        <v>1338228.62259071</v>
      </c>
      <c r="E5" s="16">
        <f>E6+E32+E39</f>
        <v>1197241.16658906</v>
      </c>
      <c r="F5" s="16"/>
      <c r="G5" s="16">
        <f>D5-E5+1</f>
        <v>140988.456001652</v>
      </c>
      <c r="H5" s="234"/>
    </row>
    <row r="6" s="176" customFormat="1" ht="25" customHeight="1" spans="1:8">
      <c r="A6" s="53" t="s">
        <v>48</v>
      </c>
      <c r="B6" s="185" t="s">
        <v>49</v>
      </c>
      <c r="C6" s="188" t="s">
        <v>50</v>
      </c>
      <c r="D6" s="281">
        <v>995870.071465138</v>
      </c>
      <c r="E6" s="16">
        <f>E7+E16</f>
        <v>903760.131550258</v>
      </c>
      <c r="F6" s="16"/>
      <c r="G6" s="16">
        <f t="shared" ref="G5:G40" si="0">D6-E6</f>
        <v>92109.9399148797</v>
      </c>
      <c r="H6" s="234"/>
    </row>
    <row r="7" s="176" customFormat="1" ht="25" customHeight="1" spans="1:8">
      <c r="A7" s="53" t="s">
        <v>53</v>
      </c>
      <c r="B7" s="185" t="s">
        <v>54</v>
      </c>
      <c r="C7" s="188" t="s">
        <v>55</v>
      </c>
      <c r="D7" s="281">
        <v>892854.303214258</v>
      </c>
      <c r="E7" s="16">
        <f>E8+E11+E14+E15</f>
        <v>815451.619342258</v>
      </c>
      <c r="F7" s="16"/>
      <c r="G7" s="16">
        <f>D7-E7-1</f>
        <v>77401.6838719997</v>
      </c>
      <c r="H7" s="234"/>
    </row>
    <row r="8" s="176" customFormat="1" ht="25" customHeight="1" spans="1:8">
      <c r="A8" s="53">
        <v>1</v>
      </c>
      <c r="B8" s="185" t="s">
        <v>57</v>
      </c>
      <c r="C8" s="188" t="s">
        <v>58</v>
      </c>
      <c r="D8" s="281">
        <v>422195.77152</v>
      </c>
      <c r="E8" s="16">
        <f>E9</f>
        <v>361920.132</v>
      </c>
      <c r="F8" s="16"/>
      <c r="G8" s="16">
        <f t="shared" si="0"/>
        <v>60275.63952</v>
      </c>
      <c r="H8" s="234"/>
    </row>
    <row r="9" s="176" customFormat="1" ht="25" customHeight="1" spans="1:8">
      <c r="A9" s="282">
        <v>-1</v>
      </c>
      <c r="B9" s="185" t="s">
        <v>60</v>
      </c>
      <c r="C9" s="188" t="s">
        <v>191</v>
      </c>
      <c r="D9" s="281">
        <v>422195.77152</v>
      </c>
      <c r="E9" s="16">
        <f>表三甲!M29*114</f>
        <v>361920.132</v>
      </c>
      <c r="F9" s="16"/>
      <c r="G9" s="16">
        <f t="shared" si="0"/>
        <v>60275.63952</v>
      </c>
      <c r="H9" s="283" t="s">
        <v>192</v>
      </c>
    </row>
    <row r="10" s="176" customFormat="1" ht="25" customHeight="1" spans="1:8">
      <c r="A10" s="282">
        <v>-2</v>
      </c>
      <c r="B10" s="185" t="s">
        <v>64</v>
      </c>
      <c r="C10" s="188" t="s">
        <v>65</v>
      </c>
      <c r="D10" s="16"/>
      <c r="E10" s="16"/>
      <c r="F10" s="16"/>
      <c r="G10" s="16"/>
      <c r="H10" s="234"/>
    </row>
    <row r="11" s="176" customFormat="1" ht="25" customHeight="1" spans="1:8">
      <c r="A11" s="53">
        <v>2</v>
      </c>
      <c r="B11" s="185" t="s">
        <v>68</v>
      </c>
      <c r="C11" s="188" t="s">
        <v>69</v>
      </c>
      <c r="D11" s="281">
        <v>398007.911694258</v>
      </c>
      <c r="E11" s="16">
        <f>E12+E13</f>
        <v>380880.867342258</v>
      </c>
      <c r="F11" s="16"/>
      <c r="G11" s="16">
        <f t="shared" si="0"/>
        <v>17127.0443519997</v>
      </c>
      <c r="H11" s="234"/>
    </row>
    <row r="12" s="176" customFormat="1" ht="25" customHeight="1" spans="1:8">
      <c r="A12" s="282">
        <v>-1</v>
      </c>
      <c r="B12" s="185" t="s">
        <v>72</v>
      </c>
      <c r="C12" s="188" t="s">
        <v>73</v>
      </c>
      <c r="D12" s="16">
        <v>386415.448246853</v>
      </c>
      <c r="E12" s="16">
        <f>'表四甲-材料'!L29</f>
        <v>369787.249846853</v>
      </c>
      <c r="F12" s="16"/>
      <c r="G12" s="16">
        <f t="shared" si="0"/>
        <v>16628.1984000003</v>
      </c>
      <c r="H12" s="234"/>
    </row>
    <row r="13" s="176" customFormat="1" ht="25" customHeight="1" spans="1:8">
      <c r="A13" s="282">
        <v>-2</v>
      </c>
      <c r="B13" s="185" t="s">
        <v>77</v>
      </c>
      <c r="C13" s="188" t="s">
        <v>78</v>
      </c>
      <c r="D13" s="281">
        <v>11592.4634474056</v>
      </c>
      <c r="E13" s="16">
        <f>E12*3%</f>
        <v>11093.6174954056</v>
      </c>
      <c r="F13" s="16"/>
      <c r="G13" s="16">
        <f>D13-E13-1</f>
        <v>497.84595200002</v>
      </c>
      <c r="H13" s="234"/>
    </row>
    <row r="14" s="176" customFormat="1" ht="25" customHeight="1" spans="1:8">
      <c r="A14" s="53">
        <v>3</v>
      </c>
      <c r="B14" s="185" t="s">
        <v>82</v>
      </c>
      <c r="C14" s="188" t="s">
        <v>83</v>
      </c>
      <c r="D14" s="16">
        <v>5806.08</v>
      </c>
      <c r="E14" s="16">
        <f>表三乙!P7</f>
        <v>5806.08</v>
      </c>
      <c r="F14" s="16"/>
      <c r="G14" s="16">
        <f t="shared" si="0"/>
        <v>0</v>
      </c>
      <c r="H14" s="234"/>
    </row>
    <row r="15" s="176" customFormat="1" ht="25" customHeight="1" spans="1:8">
      <c r="A15" s="53">
        <v>4</v>
      </c>
      <c r="B15" s="185" t="s">
        <v>87</v>
      </c>
      <c r="C15" s="188" t="s">
        <v>88</v>
      </c>
      <c r="D15" s="16">
        <v>66844.54</v>
      </c>
      <c r="E15" s="16">
        <f>表三丙!P12</f>
        <v>66844.54</v>
      </c>
      <c r="F15" s="16"/>
      <c r="G15" s="16">
        <f t="shared" si="0"/>
        <v>0</v>
      </c>
      <c r="H15" s="234"/>
    </row>
    <row r="16" s="176" customFormat="1" ht="25" customHeight="1" spans="1:8">
      <c r="A16" s="53" t="s">
        <v>74</v>
      </c>
      <c r="B16" s="185" t="s">
        <v>89</v>
      </c>
      <c r="C16" s="280" t="s">
        <v>90</v>
      </c>
      <c r="D16" s="281">
        <v>103015.76825088</v>
      </c>
      <c r="E16" s="16">
        <f>SUM(E17:E28)</f>
        <v>88308.512208</v>
      </c>
      <c r="F16" s="16"/>
      <c r="G16" s="16">
        <f t="shared" si="0"/>
        <v>14707.25604288</v>
      </c>
      <c r="H16" s="234"/>
    </row>
    <row r="17" s="176" customFormat="1" ht="25" customHeight="1" spans="1:8">
      <c r="A17" s="53">
        <v>1</v>
      </c>
      <c r="B17" s="185" t="s">
        <v>91</v>
      </c>
      <c r="C17" s="188" t="s">
        <v>92</v>
      </c>
      <c r="D17" s="281">
        <v>4644.15348672</v>
      </c>
      <c r="E17" s="16">
        <f>E8*1.1%</f>
        <v>3981.121452</v>
      </c>
      <c r="F17" s="16"/>
      <c r="G17" s="16">
        <f t="shared" si="0"/>
        <v>663.03203472</v>
      </c>
      <c r="H17" s="234"/>
    </row>
    <row r="18" s="176" customFormat="1" ht="25" customHeight="1" spans="1:8">
      <c r="A18" s="53">
        <v>2</v>
      </c>
      <c r="B18" s="185" t="s">
        <v>93</v>
      </c>
      <c r="C18" s="188" t="s">
        <v>92</v>
      </c>
      <c r="D18" s="281">
        <v>4644.15348672</v>
      </c>
      <c r="E18" s="16">
        <f>E8*1.1%</f>
        <v>3981.121452</v>
      </c>
      <c r="F18" s="16"/>
      <c r="G18" s="16">
        <f t="shared" si="0"/>
        <v>663.03203472</v>
      </c>
      <c r="H18" s="234"/>
    </row>
    <row r="19" s="176" customFormat="1" ht="25" customHeight="1" spans="1:8">
      <c r="A19" s="53">
        <v>3</v>
      </c>
      <c r="B19" s="185" t="s">
        <v>94</v>
      </c>
      <c r="C19" s="188" t="s">
        <v>95</v>
      </c>
      <c r="D19" s="281">
        <v>16887.8308608</v>
      </c>
      <c r="E19" s="16">
        <f>E8*4%</f>
        <v>14476.80528</v>
      </c>
      <c r="F19" s="16"/>
      <c r="G19" s="16">
        <f t="shared" si="0"/>
        <v>2411.0255808</v>
      </c>
      <c r="H19" s="234"/>
    </row>
    <row r="20" s="176" customFormat="1" ht="25" customHeight="1" spans="1:8">
      <c r="A20" s="53">
        <v>4</v>
      </c>
      <c r="B20" s="185" t="s">
        <v>96</v>
      </c>
      <c r="C20" s="188" t="s">
        <v>97</v>
      </c>
      <c r="D20" s="281">
        <v>10554.894288</v>
      </c>
      <c r="E20" s="16">
        <f>E8*2.5%</f>
        <v>9048.0033</v>
      </c>
      <c r="F20" s="16"/>
      <c r="G20" s="16">
        <f t="shared" si="0"/>
        <v>1506.890988</v>
      </c>
      <c r="H20" s="234"/>
    </row>
    <row r="21" s="176" customFormat="1" ht="25" customHeight="1" spans="1:8">
      <c r="A21" s="53">
        <v>5</v>
      </c>
      <c r="B21" s="185" t="s">
        <v>98</v>
      </c>
      <c r="C21" s="188" t="s">
        <v>99</v>
      </c>
      <c r="D21" s="281">
        <v>16043.43931776</v>
      </c>
      <c r="E21" s="16">
        <f>E8*3.8%</f>
        <v>13752.965016</v>
      </c>
      <c r="F21" s="16"/>
      <c r="G21" s="16">
        <f t="shared" si="0"/>
        <v>2290.47430176</v>
      </c>
      <c r="H21" s="234"/>
    </row>
    <row r="22" s="176" customFormat="1" ht="25" customHeight="1" spans="1:8">
      <c r="A22" s="53">
        <v>6</v>
      </c>
      <c r="B22" s="185" t="s">
        <v>100</v>
      </c>
      <c r="C22" s="188" t="s">
        <v>101</v>
      </c>
      <c r="D22" s="281">
        <v>21109.788576</v>
      </c>
      <c r="E22" s="16">
        <f>E8*5%</f>
        <v>18096.0066</v>
      </c>
      <c r="F22" s="16"/>
      <c r="G22" s="16">
        <f t="shared" si="0"/>
        <v>3013.781976</v>
      </c>
      <c r="H22" s="234"/>
    </row>
    <row r="23" s="176" customFormat="1" ht="25" customHeight="1" spans="1:8">
      <c r="A23" s="53">
        <v>7</v>
      </c>
      <c r="B23" s="185" t="s">
        <v>102</v>
      </c>
      <c r="C23" s="188" t="s">
        <v>103</v>
      </c>
      <c r="D23" s="281">
        <v>8866.11120192</v>
      </c>
      <c r="E23" s="16">
        <f>E8*2.1%</f>
        <v>7600.322772</v>
      </c>
      <c r="F23" s="16"/>
      <c r="G23" s="16">
        <f t="shared" si="0"/>
        <v>1265.78842992</v>
      </c>
      <c r="H23" s="234"/>
    </row>
    <row r="24" s="176" customFormat="1" ht="25" customHeight="1" spans="1:8">
      <c r="A24" s="53">
        <v>8</v>
      </c>
      <c r="B24" s="185" t="s">
        <v>104</v>
      </c>
      <c r="C24" s="188" t="s">
        <v>105</v>
      </c>
      <c r="D24" s="281">
        <v>10554.894288</v>
      </c>
      <c r="E24" s="16">
        <f>E8*2.5%</f>
        <v>9048.0033</v>
      </c>
      <c r="F24" s="16"/>
      <c r="G24" s="16">
        <f t="shared" si="0"/>
        <v>1506.890988</v>
      </c>
      <c r="H24" s="234"/>
    </row>
    <row r="25" s="176" customFormat="1" ht="25" customHeight="1" spans="1:8">
      <c r="A25" s="53">
        <v>9</v>
      </c>
      <c r="B25" s="185" t="s">
        <v>106</v>
      </c>
      <c r="C25" s="188" t="s">
        <v>107</v>
      </c>
      <c r="D25" s="281">
        <v>3377.56617216</v>
      </c>
      <c r="E25" s="16">
        <f>E8*0.8%</f>
        <v>2895.361056</v>
      </c>
      <c r="F25" s="16"/>
      <c r="G25" s="16">
        <f>D25-E25+1</f>
        <v>483.20511616</v>
      </c>
      <c r="H25" s="234"/>
    </row>
    <row r="26" s="176" customFormat="1" ht="25" customHeight="1" spans="1:8">
      <c r="A26" s="53">
        <v>10</v>
      </c>
      <c r="B26" s="185" t="s">
        <v>108</v>
      </c>
      <c r="C26" s="188"/>
      <c r="D26" s="281"/>
      <c r="E26" s="16"/>
      <c r="F26" s="16"/>
      <c r="G26" s="16"/>
      <c r="H26" s="234"/>
    </row>
    <row r="27" s="176" customFormat="1" ht="25" customHeight="1" spans="1:8">
      <c r="A27" s="53">
        <v>11</v>
      </c>
      <c r="B27" s="185" t="s">
        <v>109</v>
      </c>
      <c r="C27" s="188"/>
      <c r="D27" s="281"/>
      <c r="E27" s="16"/>
      <c r="F27" s="16"/>
      <c r="G27" s="16"/>
      <c r="H27" s="234"/>
    </row>
    <row r="28" s="176" customFormat="1" ht="25" customHeight="1" spans="1:8">
      <c r="A28" s="53">
        <v>12</v>
      </c>
      <c r="B28" s="185" t="s">
        <v>110</v>
      </c>
      <c r="C28" s="188" t="s">
        <v>111</v>
      </c>
      <c r="D28" s="281">
        <v>6332.9365728</v>
      </c>
      <c r="E28" s="16">
        <f>E8*1.5%</f>
        <v>5428.80198</v>
      </c>
      <c r="F28" s="16"/>
      <c r="G28" s="16">
        <f t="shared" si="0"/>
        <v>904.134592800001</v>
      </c>
      <c r="H28" s="234"/>
    </row>
    <row r="29" s="176" customFormat="1" ht="25" customHeight="1" spans="1:8">
      <c r="A29" s="53">
        <v>13</v>
      </c>
      <c r="B29" s="185" t="s">
        <v>112</v>
      </c>
      <c r="C29" s="188"/>
      <c r="D29" s="281"/>
      <c r="E29" s="16"/>
      <c r="F29" s="16"/>
      <c r="G29" s="16"/>
      <c r="H29" s="234"/>
    </row>
    <row r="30" s="176" customFormat="1" ht="25" customHeight="1" spans="1:8">
      <c r="A30" s="53">
        <v>14</v>
      </c>
      <c r="B30" s="284" t="s">
        <v>44</v>
      </c>
      <c r="C30" s="284"/>
      <c r="D30" s="16"/>
      <c r="E30" s="16"/>
      <c r="F30" s="16"/>
      <c r="G30" s="16"/>
      <c r="H30" s="234"/>
    </row>
    <row r="31" s="176" customFormat="1" ht="25" customHeight="1" spans="1:8">
      <c r="A31" s="53">
        <v>15</v>
      </c>
      <c r="B31" s="284" t="s">
        <v>47</v>
      </c>
      <c r="C31" s="284" t="s">
        <v>30</v>
      </c>
      <c r="D31" s="16"/>
      <c r="E31" s="16"/>
      <c r="F31" s="16"/>
      <c r="G31" s="16"/>
      <c r="H31" s="234"/>
    </row>
    <row r="32" s="176" customFormat="1" ht="25" customHeight="1" spans="1:8">
      <c r="A32" s="53" t="s">
        <v>51</v>
      </c>
      <c r="B32" s="284" t="s">
        <v>52</v>
      </c>
      <c r="C32" s="284" t="s">
        <v>50</v>
      </c>
      <c r="D32" s="16">
        <v>257919.396821568</v>
      </c>
      <c r="E32" s="16">
        <f>E33+E38</f>
        <v>221097.0086388</v>
      </c>
      <c r="F32" s="16"/>
      <c r="G32" s="16">
        <f t="shared" si="0"/>
        <v>36822.388182768</v>
      </c>
      <c r="H32" s="234"/>
    </row>
    <row r="33" s="176" customFormat="1" ht="25" customHeight="1" spans="1:8">
      <c r="A33" s="53" t="s">
        <v>53</v>
      </c>
      <c r="B33" s="284" t="s">
        <v>56</v>
      </c>
      <c r="C33" s="284" t="s">
        <v>55</v>
      </c>
      <c r="D33" s="281">
        <v>142237.755425088</v>
      </c>
      <c r="E33" s="16">
        <f>SUM(E35:E37)</f>
        <v>121930.8924708</v>
      </c>
      <c r="F33" s="16"/>
      <c r="G33" s="16">
        <f t="shared" si="0"/>
        <v>20306.862954288</v>
      </c>
      <c r="H33" s="234"/>
    </row>
    <row r="34" s="176" customFormat="1" ht="25" customHeight="1" spans="1:8">
      <c r="A34" s="53">
        <v>1</v>
      </c>
      <c r="B34" s="284" t="s">
        <v>59</v>
      </c>
      <c r="C34" s="284"/>
      <c r="D34" s="16"/>
      <c r="E34" s="16"/>
      <c r="F34" s="16"/>
      <c r="G34" s="16"/>
      <c r="H34" s="234"/>
    </row>
    <row r="35" s="176" customFormat="1" ht="25" customHeight="1" spans="1:8">
      <c r="A35" s="53">
        <v>2</v>
      </c>
      <c r="B35" s="284" t="s">
        <v>62</v>
      </c>
      <c r="C35" s="284" t="s">
        <v>63</v>
      </c>
      <c r="D35" s="281">
        <v>120325.7948832</v>
      </c>
      <c r="E35" s="16">
        <f>E8*28.5%</f>
        <v>103147.23762</v>
      </c>
      <c r="F35" s="16"/>
      <c r="G35" s="16">
        <f t="shared" si="0"/>
        <v>17178.5572632</v>
      </c>
      <c r="H35" s="234"/>
    </row>
    <row r="36" s="176" customFormat="1" ht="25" customHeight="1" spans="1:8">
      <c r="A36" s="53">
        <v>3</v>
      </c>
      <c r="B36" s="284" t="s">
        <v>66</v>
      </c>
      <c r="C36" s="284" t="s">
        <v>67</v>
      </c>
      <c r="D36" s="281">
        <v>17690.002826688</v>
      </c>
      <c r="E36" s="16">
        <f>E8*4.19%</f>
        <v>15164.4535308</v>
      </c>
      <c r="F36" s="16"/>
      <c r="G36" s="16">
        <f t="shared" si="0"/>
        <v>2525.549295888</v>
      </c>
      <c r="H36" s="234"/>
    </row>
    <row r="37" s="176" customFormat="1" ht="25" customHeight="1" spans="1:8">
      <c r="A37" s="53">
        <v>4</v>
      </c>
      <c r="B37" s="284" t="s">
        <v>70</v>
      </c>
      <c r="C37" s="284" t="s">
        <v>71</v>
      </c>
      <c r="D37" s="281">
        <v>4221.9577152</v>
      </c>
      <c r="E37" s="16">
        <f>E8*1%</f>
        <v>3619.20132</v>
      </c>
      <c r="F37" s="16"/>
      <c r="G37" s="16">
        <f t="shared" si="0"/>
        <v>602.7563952</v>
      </c>
      <c r="H37" s="234"/>
    </row>
    <row r="38" s="176" customFormat="1" ht="25" customHeight="1" spans="1:8">
      <c r="A38" s="53" t="s">
        <v>74</v>
      </c>
      <c r="B38" s="284" t="s">
        <v>75</v>
      </c>
      <c r="C38" s="284" t="s">
        <v>76</v>
      </c>
      <c r="D38" s="281">
        <v>115681.64139648</v>
      </c>
      <c r="E38" s="16">
        <f>E8*27.4%</f>
        <v>99166.116168</v>
      </c>
      <c r="F38" s="16"/>
      <c r="G38" s="16">
        <f t="shared" si="0"/>
        <v>16515.52522848</v>
      </c>
      <c r="H38" s="234"/>
    </row>
    <row r="39" s="176" customFormat="1" ht="25" customHeight="1" spans="1:8">
      <c r="A39" s="53" t="s">
        <v>79</v>
      </c>
      <c r="B39" s="284" t="s">
        <v>80</v>
      </c>
      <c r="C39" s="284" t="s">
        <v>81</v>
      </c>
      <c r="D39" s="281">
        <v>84439.154304</v>
      </c>
      <c r="E39" s="16">
        <f>E8*20%</f>
        <v>72384.0264</v>
      </c>
      <c r="F39" s="16"/>
      <c r="G39" s="16">
        <f t="shared" si="0"/>
        <v>12055.127904</v>
      </c>
      <c r="H39" s="234"/>
    </row>
    <row r="40" s="176" customFormat="1" ht="51" customHeight="1" spans="1:8">
      <c r="A40" s="53" t="s">
        <v>84</v>
      </c>
      <c r="B40" s="284" t="s">
        <v>85</v>
      </c>
      <c r="C40" s="285" t="s">
        <v>193</v>
      </c>
      <c r="D40" s="281">
        <v>120440.576033164</v>
      </c>
      <c r="E40" s="16">
        <f>(E6+E32+E39)*9%</f>
        <v>107751.704993015</v>
      </c>
      <c r="F40" s="16"/>
      <c r="G40" s="16">
        <f t="shared" si="0"/>
        <v>12688.8710401488</v>
      </c>
      <c r="H40" s="234"/>
    </row>
    <row r="41" s="176" customFormat="1" ht="15" customHeight="1" spans="1:7">
      <c r="A41" s="177"/>
      <c r="B41" s="189"/>
      <c r="D41" s="286"/>
      <c r="E41" s="177"/>
      <c r="F41" s="177"/>
      <c r="G41" s="177"/>
    </row>
    <row r="42" s="176" customFormat="1" ht="15" customHeight="1" spans="1:7">
      <c r="A42" s="177"/>
      <c r="B42" s="189"/>
      <c r="D42" s="286"/>
      <c r="E42" s="177"/>
      <c r="F42" s="177"/>
      <c r="G42" s="177"/>
    </row>
    <row r="43" s="176" customFormat="1" ht="15" customHeight="1" spans="1:7">
      <c r="A43" s="177"/>
      <c r="B43" s="189"/>
      <c r="D43" s="286"/>
      <c r="E43" s="177"/>
      <c r="F43" s="177"/>
      <c r="G43" s="177"/>
    </row>
    <row r="44" s="176" customFormat="1" ht="15" customHeight="1" spans="1:7">
      <c r="A44" s="177"/>
      <c r="B44" s="189"/>
      <c r="D44" s="286"/>
      <c r="E44" s="177"/>
      <c r="F44" s="177"/>
      <c r="G44" s="177"/>
    </row>
    <row r="45" s="176" customFormat="1" ht="15" customHeight="1" spans="1:7">
      <c r="A45" s="177"/>
      <c r="B45" s="189"/>
      <c r="D45" s="286"/>
      <c r="E45" s="177"/>
      <c r="F45" s="177"/>
      <c r="G45" s="177"/>
    </row>
    <row r="46" s="176" customFormat="1" ht="15" customHeight="1" spans="1:7">
      <c r="A46" s="177"/>
      <c r="B46" s="189"/>
      <c r="D46" s="286"/>
      <c r="E46" s="177"/>
      <c r="F46" s="177"/>
      <c r="G46" s="177"/>
    </row>
    <row r="47" s="176" customFormat="1" ht="15" customHeight="1" spans="1:7">
      <c r="A47" s="177"/>
      <c r="B47" s="189"/>
      <c r="D47" s="286"/>
      <c r="E47" s="177"/>
      <c r="F47" s="177"/>
      <c r="G47" s="177"/>
    </row>
    <row r="48" s="176" customFormat="1" ht="15" customHeight="1" spans="1:7">
      <c r="A48" s="177"/>
      <c r="B48" s="189"/>
      <c r="D48" s="286"/>
      <c r="E48" s="177"/>
      <c r="F48" s="177"/>
      <c r="G48" s="177"/>
    </row>
    <row r="49" s="176" customFormat="1" ht="15" customHeight="1" spans="1:7">
      <c r="A49" s="177"/>
      <c r="B49" s="189"/>
      <c r="D49" s="286"/>
      <c r="E49" s="177"/>
      <c r="F49" s="177"/>
      <c r="G49" s="177"/>
    </row>
    <row r="50" s="176" customFormat="1" ht="15" customHeight="1" spans="1:7">
      <c r="A50" s="177"/>
      <c r="B50" s="189"/>
      <c r="D50" s="286"/>
      <c r="E50" s="177"/>
      <c r="F50" s="177"/>
      <c r="G50" s="177"/>
    </row>
    <row r="51" s="176" customFormat="1" ht="15" customHeight="1" spans="1:7">
      <c r="A51" s="177"/>
      <c r="B51" s="189"/>
      <c r="D51" s="286"/>
      <c r="E51" s="177"/>
      <c r="F51" s="177"/>
      <c r="G51" s="177"/>
    </row>
    <row r="52" s="176" customFormat="1" ht="15" customHeight="1" spans="1:7">
      <c r="A52" s="177"/>
      <c r="B52" s="189"/>
      <c r="D52" s="286"/>
      <c r="E52" s="177"/>
      <c r="F52" s="177"/>
      <c r="G52" s="177"/>
    </row>
    <row r="53" s="176" customFormat="1" ht="15" customHeight="1" spans="1:7">
      <c r="A53" s="177"/>
      <c r="B53" s="189"/>
      <c r="D53" s="286"/>
      <c r="E53" s="177"/>
      <c r="F53" s="177"/>
      <c r="G53" s="177"/>
    </row>
    <row r="54" s="176" customFormat="1" ht="15" customHeight="1" spans="1:7">
      <c r="A54" s="177"/>
      <c r="B54" s="189"/>
      <c r="D54" s="286"/>
      <c r="E54" s="177"/>
      <c r="F54" s="177"/>
      <c r="G54" s="177"/>
    </row>
    <row r="55" s="176" customFormat="1" ht="15" customHeight="1" spans="1:7">
      <c r="A55" s="177"/>
      <c r="B55" s="189"/>
      <c r="D55" s="286"/>
      <c r="E55" s="177"/>
      <c r="F55" s="177"/>
      <c r="G55" s="177"/>
    </row>
    <row r="56" s="176" customFormat="1" ht="15" customHeight="1" spans="1:7">
      <c r="A56" s="177"/>
      <c r="B56" s="189"/>
      <c r="D56" s="286"/>
      <c r="E56" s="177"/>
      <c r="F56" s="177"/>
      <c r="G56" s="177"/>
    </row>
    <row r="57" s="176" customFormat="1" ht="15" customHeight="1" spans="1:7">
      <c r="A57" s="189" t="s">
        <v>32</v>
      </c>
      <c r="B57" s="189"/>
      <c r="D57" s="177"/>
      <c r="E57" s="177"/>
      <c r="F57" s="177"/>
      <c r="G57" s="177"/>
    </row>
  </sheetData>
  <mergeCells count="1">
    <mergeCell ref="A1:G1"/>
  </mergeCells>
  <printOptions horizontalCentered="1"/>
  <pageMargins left="0.393055555555556" right="0.393055555555556" top="0.590277777777778" bottom="0.393055555555556" header="0.5" footer="0.184722222222222"/>
  <pageSetup paperSize="9" scale="99" fitToHeight="0" orientation="portrait" horizontalDpi="600"/>
  <headerFooter>
    <oddFooter>&amp;C&amp;9第 &amp;P 页，共 &amp;N 页</oddFooter>
  </headerFooter>
  <ignoredErrors>
    <ignoredError sqref="E4:E6 E10 E15 E26:E27 E29:E31 E34 E37:E38 G6 G8:G12 G14:G24 G26:G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0"/>
  <sheetViews>
    <sheetView tabSelected="1" view="pageBreakPreview" zoomScaleNormal="100" workbookViewId="0">
      <pane xSplit="16" ySplit="5" topLeftCell="Q21" activePane="bottomRight" state="frozen"/>
      <selection/>
      <selection pane="topRight"/>
      <selection pane="bottomLeft"/>
      <selection pane="bottomRight" activeCell="K33" sqref="K33"/>
    </sheetView>
  </sheetViews>
  <sheetFormatPr defaultColWidth="9" defaultRowHeight="12.75"/>
  <cols>
    <col min="1" max="1" width="3.625" style="176" customWidth="1"/>
    <col min="2" max="2" width="7.58333333333333" style="176" customWidth="1"/>
    <col min="3" max="3" width="32.7583333333333" style="176" customWidth="1"/>
    <col min="4" max="4" width="5.75833333333333" style="177" customWidth="1"/>
    <col min="5" max="5" width="8.25833333333333" style="176" customWidth="1"/>
    <col min="6" max="6" width="7.75833333333333" style="178" customWidth="1"/>
    <col min="7" max="7" width="7" style="178" customWidth="1"/>
    <col min="8" max="8" width="8.375" style="178" customWidth="1"/>
    <col min="9" max="9" width="8.625" style="176" customWidth="1"/>
    <col min="10" max="10" width="8.125" style="176" customWidth="1"/>
    <col min="11" max="11" width="7.625" style="178" customWidth="1"/>
    <col min="12" max="12" width="7" style="178" customWidth="1"/>
    <col min="13" max="13" width="7.875" style="178" customWidth="1"/>
    <col min="14" max="14" width="7.875" style="176" customWidth="1"/>
    <col min="15" max="16" width="7" style="176" customWidth="1"/>
    <col min="17" max="17" width="9.25833333333333" style="176" hidden="1" customWidth="1"/>
    <col min="18" max="29" width="9" style="176" customWidth="1"/>
    <col min="30" max="31" width="9" style="176"/>
    <col min="32" max="254" width="8.48333333333333" style="176" hidden="1"/>
    <col min="255" max="255" width="8.48333333333333" style="176"/>
    <col min="256" max="256" width="3.625" style="176" customWidth="1"/>
    <col min="257" max="257" width="7.58333333333333" style="176" customWidth="1"/>
    <col min="258" max="258" width="32.7583333333333" style="176" customWidth="1"/>
    <col min="259" max="259" width="6.5" style="176" customWidth="1"/>
    <col min="260" max="260" width="8.25833333333333" style="176" customWidth="1"/>
    <col min="261" max="262" width="7" style="176" customWidth="1"/>
    <col min="263" max="263" width="8.375" style="176" customWidth="1"/>
    <col min="264" max="264" width="8.625" style="176" customWidth="1"/>
    <col min="265" max="265" width="8.125" style="176" customWidth="1"/>
    <col min="266" max="267" width="7" style="176" customWidth="1"/>
    <col min="268" max="269" width="7.875" style="176" customWidth="1"/>
    <col min="270" max="271" width="7" style="176" customWidth="1"/>
    <col min="272" max="272" width="9.25833333333333" style="176" hidden="1" customWidth="1"/>
    <col min="273" max="273" width="19.7583333333333" style="176" customWidth="1"/>
    <col min="274" max="285" width="9" style="176" customWidth="1"/>
    <col min="286" max="287" width="9" style="176"/>
    <col min="288" max="510" width="8.48333333333333" style="176" hidden="1"/>
    <col min="511" max="511" width="8.48333333333333" style="176"/>
    <col min="512" max="512" width="3.625" style="176" customWidth="1"/>
    <col min="513" max="513" width="7.58333333333333" style="176" customWidth="1"/>
    <col min="514" max="514" width="32.7583333333333" style="176" customWidth="1"/>
    <col min="515" max="515" width="6.5" style="176" customWidth="1"/>
    <col min="516" max="516" width="8.25833333333333" style="176" customWidth="1"/>
    <col min="517" max="518" width="7" style="176" customWidth="1"/>
    <col min="519" max="519" width="8.375" style="176" customWidth="1"/>
    <col min="520" max="520" width="8.625" style="176" customWidth="1"/>
    <col min="521" max="521" width="8.125" style="176" customWidth="1"/>
    <col min="522" max="523" width="7" style="176" customWidth="1"/>
    <col min="524" max="525" width="7.875" style="176" customWidth="1"/>
    <col min="526" max="527" width="7" style="176" customWidth="1"/>
    <col min="528" max="528" width="9.25833333333333" style="176" hidden="1" customWidth="1"/>
    <col min="529" max="529" width="19.7583333333333" style="176" customWidth="1"/>
    <col min="530" max="541" width="9" style="176" customWidth="1"/>
    <col min="542" max="543" width="9" style="176"/>
    <col min="544" max="766" width="8.48333333333333" style="176" hidden="1"/>
    <col min="767" max="767" width="8.48333333333333" style="176"/>
    <col min="768" max="768" width="3.625" style="176" customWidth="1"/>
    <col min="769" max="769" width="7.58333333333333" style="176" customWidth="1"/>
    <col min="770" max="770" width="32.7583333333333" style="176" customWidth="1"/>
    <col min="771" max="771" width="6.5" style="176" customWidth="1"/>
    <col min="772" max="772" width="8.25833333333333" style="176" customWidth="1"/>
    <col min="773" max="774" width="7" style="176" customWidth="1"/>
    <col min="775" max="775" width="8.375" style="176" customWidth="1"/>
    <col min="776" max="776" width="8.625" style="176" customWidth="1"/>
    <col min="777" max="777" width="8.125" style="176" customWidth="1"/>
    <col min="778" max="779" width="7" style="176" customWidth="1"/>
    <col min="780" max="781" width="7.875" style="176" customWidth="1"/>
    <col min="782" max="783" width="7" style="176" customWidth="1"/>
    <col min="784" max="784" width="9.25833333333333" style="176" hidden="1" customWidth="1"/>
    <col min="785" max="785" width="19.7583333333333" style="176" customWidth="1"/>
    <col min="786" max="797" width="9" style="176" customWidth="1"/>
    <col min="798" max="799" width="9" style="176"/>
    <col min="800" max="1022" width="8.48333333333333" style="176" hidden="1"/>
    <col min="1023" max="1023" width="8.48333333333333" style="176"/>
    <col min="1024" max="1024" width="3.625" style="176" customWidth="1"/>
    <col min="1025" max="1025" width="7.58333333333333" style="176" customWidth="1"/>
    <col min="1026" max="1026" width="32.7583333333333" style="176" customWidth="1"/>
    <col min="1027" max="1027" width="6.5" style="176" customWidth="1"/>
    <col min="1028" max="1028" width="8.25833333333333" style="176" customWidth="1"/>
    <col min="1029" max="1030" width="7" style="176" customWidth="1"/>
    <col min="1031" max="1031" width="8.375" style="176" customWidth="1"/>
    <col min="1032" max="1032" width="8.625" style="176" customWidth="1"/>
    <col min="1033" max="1033" width="8.125" style="176" customWidth="1"/>
    <col min="1034" max="1035" width="7" style="176" customWidth="1"/>
    <col min="1036" max="1037" width="7.875" style="176" customWidth="1"/>
    <col min="1038" max="1039" width="7" style="176" customWidth="1"/>
    <col min="1040" max="1040" width="9.25833333333333" style="176" hidden="1" customWidth="1"/>
    <col min="1041" max="1041" width="19.7583333333333" style="176" customWidth="1"/>
    <col min="1042" max="1053" width="9" style="176" customWidth="1"/>
    <col min="1054" max="1055" width="9" style="176"/>
    <col min="1056" max="1278" width="8.48333333333333" style="176" hidden="1"/>
    <col min="1279" max="1279" width="8.48333333333333" style="176"/>
    <col min="1280" max="1280" width="3.625" style="176" customWidth="1"/>
    <col min="1281" max="1281" width="7.58333333333333" style="176" customWidth="1"/>
    <col min="1282" max="1282" width="32.7583333333333" style="176" customWidth="1"/>
    <col min="1283" max="1283" width="6.5" style="176" customWidth="1"/>
    <col min="1284" max="1284" width="8.25833333333333" style="176" customWidth="1"/>
    <col min="1285" max="1286" width="7" style="176" customWidth="1"/>
    <col min="1287" max="1287" width="8.375" style="176" customWidth="1"/>
    <col min="1288" max="1288" width="8.625" style="176" customWidth="1"/>
    <col min="1289" max="1289" width="8.125" style="176" customWidth="1"/>
    <col min="1290" max="1291" width="7" style="176" customWidth="1"/>
    <col min="1292" max="1293" width="7.875" style="176" customWidth="1"/>
    <col min="1294" max="1295" width="7" style="176" customWidth="1"/>
    <col min="1296" max="1296" width="9.25833333333333" style="176" hidden="1" customWidth="1"/>
    <col min="1297" max="1297" width="19.7583333333333" style="176" customWidth="1"/>
    <col min="1298" max="1309" width="9" style="176" customWidth="1"/>
    <col min="1310" max="1311" width="9" style="176"/>
    <col min="1312" max="1534" width="8.48333333333333" style="176" hidden="1"/>
    <col min="1535" max="1535" width="8.48333333333333" style="176"/>
    <col min="1536" max="1536" width="3.625" style="176" customWidth="1"/>
    <col min="1537" max="1537" width="7.58333333333333" style="176" customWidth="1"/>
    <col min="1538" max="1538" width="32.7583333333333" style="176" customWidth="1"/>
    <col min="1539" max="1539" width="6.5" style="176" customWidth="1"/>
    <col min="1540" max="1540" width="8.25833333333333" style="176" customWidth="1"/>
    <col min="1541" max="1542" width="7" style="176" customWidth="1"/>
    <col min="1543" max="1543" width="8.375" style="176" customWidth="1"/>
    <col min="1544" max="1544" width="8.625" style="176" customWidth="1"/>
    <col min="1545" max="1545" width="8.125" style="176" customWidth="1"/>
    <col min="1546" max="1547" width="7" style="176" customWidth="1"/>
    <col min="1548" max="1549" width="7.875" style="176" customWidth="1"/>
    <col min="1550" max="1551" width="7" style="176" customWidth="1"/>
    <col min="1552" max="1552" width="9.25833333333333" style="176" hidden="1" customWidth="1"/>
    <col min="1553" max="1553" width="19.7583333333333" style="176" customWidth="1"/>
    <col min="1554" max="1565" width="9" style="176" customWidth="1"/>
    <col min="1566" max="1567" width="9" style="176"/>
    <col min="1568" max="1790" width="8.48333333333333" style="176" hidden="1"/>
    <col min="1791" max="1791" width="8.48333333333333" style="176"/>
    <col min="1792" max="1792" width="3.625" style="176" customWidth="1"/>
    <col min="1793" max="1793" width="7.58333333333333" style="176" customWidth="1"/>
    <col min="1794" max="1794" width="32.7583333333333" style="176" customWidth="1"/>
    <col min="1795" max="1795" width="6.5" style="176" customWidth="1"/>
    <col min="1796" max="1796" width="8.25833333333333" style="176" customWidth="1"/>
    <col min="1797" max="1798" width="7" style="176" customWidth="1"/>
    <col min="1799" max="1799" width="8.375" style="176" customWidth="1"/>
    <col min="1800" max="1800" width="8.625" style="176" customWidth="1"/>
    <col min="1801" max="1801" width="8.125" style="176" customWidth="1"/>
    <col min="1802" max="1803" width="7" style="176" customWidth="1"/>
    <col min="1804" max="1805" width="7.875" style="176" customWidth="1"/>
    <col min="1806" max="1807" width="7" style="176" customWidth="1"/>
    <col min="1808" max="1808" width="9.25833333333333" style="176" hidden="1" customWidth="1"/>
    <col min="1809" max="1809" width="19.7583333333333" style="176" customWidth="1"/>
    <col min="1810" max="1821" width="9" style="176" customWidth="1"/>
    <col min="1822" max="1823" width="9" style="176"/>
    <col min="1824" max="2046" width="8.48333333333333" style="176" hidden="1"/>
    <col min="2047" max="2047" width="8.48333333333333" style="176"/>
    <col min="2048" max="2048" width="3.625" style="176" customWidth="1"/>
    <col min="2049" max="2049" width="7.58333333333333" style="176" customWidth="1"/>
    <col min="2050" max="2050" width="32.7583333333333" style="176" customWidth="1"/>
    <col min="2051" max="2051" width="6.5" style="176" customWidth="1"/>
    <col min="2052" max="2052" width="8.25833333333333" style="176" customWidth="1"/>
    <col min="2053" max="2054" width="7" style="176" customWidth="1"/>
    <col min="2055" max="2055" width="8.375" style="176" customWidth="1"/>
    <col min="2056" max="2056" width="8.625" style="176" customWidth="1"/>
    <col min="2057" max="2057" width="8.125" style="176" customWidth="1"/>
    <col min="2058" max="2059" width="7" style="176" customWidth="1"/>
    <col min="2060" max="2061" width="7.875" style="176" customWidth="1"/>
    <col min="2062" max="2063" width="7" style="176" customWidth="1"/>
    <col min="2064" max="2064" width="9.25833333333333" style="176" hidden="1" customWidth="1"/>
    <col min="2065" max="2065" width="19.7583333333333" style="176" customWidth="1"/>
    <col min="2066" max="2077" width="9" style="176" customWidth="1"/>
    <col min="2078" max="2079" width="9" style="176"/>
    <col min="2080" max="2302" width="8.48333333333333" style="176" hidden="1"/>
    <col min="2303" max="2303" width="8.48333333333333" style="176"/>
    <col min="2304" max="2304" width="3.625" style="176" customWidth="1"/>
    <col min="2305" max="2305" width="7.58333333333333" style="176" customWidth="1"/>
    <col min="2306" max="2306" width="32.7583333333333" style="176" customWidth="1"/>
    <col min="2307" max="2307" width="6.5" style="176" customWidth="1"/>
    <col min="2308" max="2308" width="8.25833333333333" style="176" customWidth="1"/>
    <col min="2309" max="2310" width="7" style="176" customWidth="1"/>
    <col min="2311" max="2311" width="8.375" style="176" customWidth="1"/>
    <col min="2312" max="2312" width="8.625" style="176" customWidth="1"/>
    <col min="2313" max="2313" width="8.125" style="176" customWidth="1"/>
    <col min="2314" max="2315" width="7" style="176" customWidth="1"/>
    <col min="2316" max="2317" width="7.875" style="176" customWidth="1"/>
    <col min="2318" max="2319" width="7" style="176" customWidth="1"/>
    <col min="2320" max="2320" width="9.25833333333333" style="176" hidden="1" customWidth="1"/>
    <col min="2321" max="2321" width="19.7583333333333" style="176" customWidth="1"/>
    <col min="2322" max="2333" width="9" style="176" customWidth="1"/>
    <col min="2334" max="2335" width="9" style="176"/>
    <col min="2336" max="2558" width="8.48333333333333" style="176" hidden="1"/>
    <col min="2559" max="2559" width="8.48333333333333" style="176"/>
    <col min="2560" max="2560" width="3.625" style="176" customWidth="1"/>
    <col min="2561" max="2561" width="7.58333333333333" style="176" customWidth="1"/>
    <col min="2562" max="2562" width="32.7583333333333" style="176" customWidth="1"/>
    <col min="2563" max="2563" width="6.5" style="176" customWidth="1"/>
    <col min="2564" max="2564" width="8.25833333333333" style="176" customWidth="1"/>
    <col min="2565" max="2566" width="7" style="176" customWidth="1"/>
    <col min="2567" max="2567" width="8.375" style="176" customWidth="1"/>
    <col min="2568" max="2568" width="8.625" style="176" customWidth="1"/>
    <col min="2569" max="2569" width="8.125" style="176" customWidth="1"/>
    <col min="2570" max="2571" width="7" style="176" customWidth="1"/>
    <col min="2572" max="2573" width="7.875" style="176" customWidth="1"/>
    <col min="2574" max="2575" width="7" style="176" customWidth="1"/>
    <col min="2576" max="2576" width="9.25833333333333" style="176" hidden="1" customWidth="1"/>
    <col min="2577" max="2577" width="19.7583333333333" style="176" customWidth="1"/>
    <col min="2578" max="2589" width="9" style="176" customWidth="1"/>
    <col min="2590" max="2591" width="9" style="176"/>
    <col min="2592" max="2814" width="8.48333333333333" style="176" hidden="1"/>
    <col min="2815" max="2815" width="8.48333333333333" style="176"/>
    <col min="2816" max="2816" width="3.625" style="176" customWidth="1"/>
    <col min="2817" max="2817" width="7.58333333333333" style="176" customWidth="1"/>
    <col min="2818" max="2818" width="32.7583333333333" style="176" customWidth="1"/>
    <col min="2819" max="2819" width="6.5" style="176" customWidth="1"/>
    <col min="2820" max="2820" width="8.25833333333333" style="176" customWidth="1"/>
    <col min="2821" max="2822" width="7" style="176" customWidth="1"/>
    <col min="2823" max="2823" width="8.375" style="176" customWidth="1"/>
    <col min="2824" max="2824" width="8.625" style="176" customWidth="1"/>
    <col min="2825" max="2825" width="8.125" style="176" customWidth="1"/>
    <col min="2826" max="2827" width="7" style="176" customWidth="1"/>
    <col min="2828" max="2829" width="7.875" style="176" customWidth="1"/>
    <col min="2830" max="2831" width="7" style="176" customWidth="1"/>
    <col min="2832" max="2832" width="9.25833333333333" style="176" hidden="1" customWidth="1"/>
    <col min="2833" max="2833" width="19.7583333333333" style="176" customWidth="1"/>
    <col min="2834" max="2845" width="9" style="176" customWidth="1"/>
    <col min="2846" max="2847" width="9" style="176"/>
    <col min="2848" max="3070" width="8.48333333333333" style="176" hidden="1"/>
    <col min="3071" max="3071" width="8.48333333333333" style="176"/>
    <col min="3072" max="3072" width="3.625" style="176" customWidth="1"/>
    <col min="3073" max="3073" width="7.58333333333333" style="176" customWidth="1"/>
    <col min="3074" max="3074" width="32.7583333333333" style="176" customWidth="1"/>
    <col min="3075" max="3075" width="6.5" style="176" customWidth="1"/>
    <col min="3076" max="3076" width="8.25833333333333" style="176" customWidth="1"/>
    <col min="3077" max="3078" width="7" style="176" customWidth="1"/>
    <col min="3079" max="3079" width="8.375" style="176" customWidth="1"/>
    <col min="3080" max="3080" width="8.625" style="176" customWidth="1"/>
    <col min="3081" max="3081" width="8.125" style="176" customWidth="1"/>
    <col min="3082" max="3083" width="7" style="176" customWidth="1"/>
    <col min="3084" max="3085" width="7.875" style="176" customWidth="1"/>
    <col min="3086" max="3087" width="7" style="176" customWidth="1"/>
    <col min="3088" max="3088" width="9.25833333333333" style="176" hidden="1" customWidth="1"/>
    <col min="3089" max="3089" width="19.7583333333333" style="176" customWidth="1"/>
    <col min="3090" max="3101" width="9" style="176" customWidth="1"/>
    <col min="3102" max="3103" width="9" style="176"/>
    <col min="3104" max="3326" width="8.48333333333333" style="176" hidden="1"/>
    <col min="3327" max="3327" width="8.48333333333333" style="176"/>
    <col min="3328" max="3328" width="3.625" style="176" customWidth="1"/>
    <col min="3329" max="3329" width="7.58333333333333" style="176" customWidth="1"/>
    <col min="3330" max="3330" width="32.7583333333333" style="176" customWidth="1"/>
    <col min="3331" max="3331" width="6.5" style="176" customWidth="1"/>
    <col min="3332" max="3332" width="8.25833333333333" style="176" customWidth="1"/>
    <col min="3333" max="3334" width="7" style="176" customWidth="1"/>
    <col min="3335" max="3335" width="8.375" style="176" customWidth="1"/>
    <col min="3336" max="3336" width="8.625" style="176" customWidth="1"/>
    <col min="3337" max="3337" width="8.125" style="176" customWidth="1"/>
    <col min="3338" max="3339" width="7" style="176" customWidth="1"/>
    <col min="3340" max="3341" width="7.875" style="176" customWidth="1"/>
    <col min="3342" max="3343" width="7" style="176" customWidth="1"/>
    <col min="3344" max="3344" width="9.25833333333333" style="176" hidden="1" customWidth="1"/>
    <col min="3345" max="3345" width="19.7583333333333" style="176" customWidth="1"/>
    <col min="3346" max="3357" width="9" style="176" customWidth="1"/>
    <col min="3358" max="3359" width="9" style="176"/>
    <col min="3360" max="3582" width="8.48333333333333" style="176" hidden="1"/>
    <col min="3583" max="3583" width="8.48333333333333" style="176"/>
    <col min="3584" max="3584" width="3.625" style="176" customWidth="1"/>
    <col min="3585" max="3585" width="7.58333333333333" style="176" customWidth="1"/>
    <col min="3586" max="3586" width="32.7583333333333" style="176" customWidth="1"/>
    <col min="3587" max="3587" width="6.5" style="176" customWidth="1"/>
    <col min="3588" max="3588" width="8.25833333333333" style="176" customWidth="1"/>
    <col min="3589" max="3590" width="7" style="176" customWidth="1"/>
    <col min="3591" max="3591" width="8.375" style="176" customWidth="1"/>
    <col min="3592" max="3592" width="8.625" style="176" customWidth="1"/>
    <col min="3593" max="3593" width="8.125" style="176" customWidth="1"/>
    <col min="3594" max="3595" width="7" style="176" customWidth="1"/>
    <col min="3596" max="3597" width="7.875" style="176" customWidth="1"/>
    <col min="3598" max="3599" width="7" style="176" customWidth="1"/>
    <col min="3600" max="3600" width="9.25833333333333" style="176" hidden="1" customWidth="1"/>
    <col min="3601" max="3601" width="19.7583333333333" style="176" customWidth="1"/>
    <col min="3602" max="3613" width="9" style="176" customWidth="1"/>
    <col min="3614" max="3615" width="9" style="176"/>
    <col min="3616" max="3838" width="8.48333333333333" style="176" hidden="1"/>
    <col min="3839" max="3839" width="8.48333333333333" style="176"/>
    <col min="3840" max="3840" width="3.625" style="176" customWidth="1"/>
    <col min="3841" max="3841" width="7.58333333333333" style="176" customWidth="1"/>
    <col min="3842" max="3842" width="32.7583333333333" style="176" customWidth="1"/>
    <col min="3843" max="3843" width="6.5" style="176" customWidth="1"/>
    <col min="3844" max="3844" width="8.25833333333333" style="176" customWidth="1"/>
    <col min="3845" max="3846" width="7" style="176" customWidth="1"/>
    <col min="3847" max="3847" width="8.375" style="176" customWidth="1"/>
    <col min="3848" max="3848" width="8.625" style="176" customWidth="1"/>
    <col min="3849" max="3849" width="8.125" style="176" customWidth="1"/>
    <col min="3850" max="3851" width="7" style="176" customWidth="1"/>
    <col min="3852" max="3853" width="7.875" style="176" customWidth="1"/>
    <col min="3854" max="3855" width="7" style="176" customWidth="1"/>
    <col min="3856" max="3856" width="9.25833333333333" style="176" hidden="1" customWidth="1"/>
    <col min="3857" max="3857" width="19.7583333333333" style="176" customWidth="1"/>
    <col min="3858" max="3869" width="9" style="176" customWidth="1"/>
    <col min="3870" max="3871" width="9" style="176"/>
    <col min="3872" max="4094" width="8.48333333333333" style="176" hidden="1"/>
    <col min="4095" max="4095" width="8.48333333333333" style="176"/>
    <col min="4096" max="4096" width="3.625" style="176" customWidth="1"/>
    <col min="4097" max="4097" width="7.58333333333333" style="176" customWidth="1"/>
    <col min="4098" max="4098" width="32.7583333333333" style="176" customWidth="1"/>
    <col min="4099" max="4099" width="6.5" style="176" customWidth="1"/>
    <col min="4100" max="4100" width="8.25833333333333" style="176" customWidth="1"/>
    <col min="4101" max="4102" width="7" style="176" customWidth="1"/>
    <col min="4103" max="4103" width="8.375" style="176" customWidth="1"/>
    <col min="4104" max="4104" width="8.625" style="176" customWidth="1"/>
    <col min="4105" max="4105" width="8.125" style="176" customWidth="1"/>
    <col min="4106" max="4107" width="7" style="176" customWidth="1"/>
    <col min="4108" max="4109" width="7.875" style="176" customWidth="1"/>
    <col min="4110" max="4111" width="7" style="176" customWidth="1"/>
    <col min="4112" max="4112" width="9.25833333333333" style="176" hidden="1" customWidth="1"/>
    <col min="4113" max="4113" width="19.7583333333333" style="176" customWidth="1"/>
    <col min="4114" max="4125" width="9" style="176" customWidth="1"/>
    <col min="4126" max="4127" width="9" style="176"/>
    <col min="4128" max="4350" width="8.48333333333333" style="176" hidden="1"/>
    <col min="4351" max="4351" width="8.48333333333333" style="176"/>
    <col min="4352" max="4352" width="3.625" style="176" customWidth="1"/>
    <col min="4353" max="4353" width="7.58333333333333" style="176" customWidth="1"/>
    <col min="4354" max="4354" width="32.7583333333333" style="176" customWidth="1"/>
    <col min="4355" max="4355" width="6.5" style="176" customWidth="1"/>
    <col min="4356" max="4356" width="8.25833333333333" style="176" customWidth="1"/>
    <col min="4357" max="4358" width="7" style="176" customWidth="1"/>
    <col min="4359" max="4359" width="8.375" style="176" customWidth="1"/>
    <col min="4360" max="4360" width="8.625" style="176" customWidth="1"/>
    <col min="4361" max="4361" width="8.125" style="176" customWidth="1"/>
    <col min="4362" max="4363" width="7" style="176" customWidth="1"/>
    <col min="4364" max="4365" width="7.875" style="176" customWidth="1"/>
    <col min="4366" max="4367" width="7" style="176" customWidth="1"/>
    <col min="4368" max="4368" width="9.25833333333333" style="176" hidden="1" customWidth="1"/>
    <col min="4369" max="4369" width="19.7583333333333" style="176" customWidth="1"/>
    <col min="4370" max="4381" width="9" style="176" customWidth="1"/>
    <col min="4382" max="4383" width="9" style="176"/>
    <col min="4384" max="4606" width="8.48333333333333" style="176" hidden="1"/>
    <col min="4607" max="4607" width="8.48333333333333" style="176"/>
    <col min="4608" max="4608" width="3.625" style="176" customWidth="1"/>
    <col min="4609" max="4609" width="7.58333333333333" style="176" customWidth="1"/>
    <col min="4610" max="4610" width="32.7583333333333" style="176" customWidth="1"/>
    <col min="4611" max="4611" width="6.5" style="176" customWidth="1"/>
    <col min="4612" max="4612" width="8.25833333333333" style="176" customWidth="1"/>
    <col min="4613" max="4614" width="7" style="176" customWidth="1"/>
    <col min="4615" max="4615" width="8.375" style="176" customWidth="1"/>
    <col min="4616" max="4616" width="8.625" style="176" customWidth="1"/>
    <col min="4617" max="4617" width="8.125" style="176" customWidth="1"/>
    <col min="4618" max="4619" width="7" style="176" customWidth="1"/>
    <col min="4620" max="4621" width="7.875" style="176" customWidth="1"/>
    <col min="4622" max="4623" width="7" style="176" customWidth="1"/>
    <col min="4624" max="4624" width="9.25833333333333" style="176" hidden="1" customWidth="1"/>
    <col min="4625" max="4625" width="19.7583333333333" style="176" customWidth="1"/>
    <col min="4626" max="4637" width="9" style="176" customWidth="1"/>
    <col min="4638" max="4639" width="9" style="176"/>
    <col min="4640" max="4862" width="8.48333333333333" style="176" hidden="1"/>
    <col min="4863" max="4863" width="8.48333333333333" style="176"/>
    <col min="4864" max="4864" width="3.625" style="176" customWidth="1"/>
    <col min="4865" max="4865" width="7.58333333333333" style="176" customWidth="1"/>
    <col min="4866" max="4866" width="32.7583333333333" style="176" customWidth="1"/>
    <col min="4867" max="4867" width="6.5" style="176" customWidth="1"/>
    <col min="4868" max="4868" width="8.25833333333333" style="176" customWidth="1"/>
    <col min="4869" max="4870" width="7" style="176" customWidth="1"/>
    <col min="4871" max="4871" width="8.375" style="176" customWidth="1"/>
    <col min="4872" max="4872" width="8.625" style="176" customWidth="1"/>
    <col min="4873" max="4873" width="8.125" style="176" customWidth="1"/>
    <col min="4874" max="4875" width="7" style="176" customWidth="1"/>
    <col min="4876" max="4877" width="7.875" style="176" customWidth="1"/>
    <col min="4878" max="4879" width="7" style="176" customWidth="1"/>
    <col min="4880" max="4880" width="9.25833333333333" style="176" hidden="1" customWidth="1"/>
    <col min="4881" max="4881" width="19.7583333333333" style="176" customWidth="1"/>
    <col min="4882" max="4893" width="9" style="176" customWidth="1"/>
    <col min="4894" max="4895" width="9" style="176"/>
    <col min="4896" max="5118" width="8.48333333333333" style="176" hidden="1"/>
    <col min="5119" max="5119" width="8.48333333333333" style="176"/>
    <col min="5120" max="5120" width="3.625" style="176" customWidth="1"/>
    <col min="5121" max="5121" width="7.58333333333333" style="176" customWidth="1"/>
    <col min="5122" max="5122" width="32.7583333333333" style="176" customWidth="1"/>
    <col min="5123" max="5123" width="6.5" style="176" customWidth="1"/>
    <col min="5124" max="5124" width="8.25833333333333" style="176" customWidth="1"/>
    <col min="5125" max="5126" width="7" style="176" customWidth="1"/>
    <col min="5127" max="5127" width="8.375" style="176" customWidth="1"/>
    <col min="5128" max="5128" width="8.625" style="176" customWidth="1"/>
    <col min="5129" max="5129" width="8.125" style="176" customWidth="1"/>
    <col min="5130" max="5131" width="7" style="176" customWidth="1"/>
    <col min="5132" max="5133" width="7.875" style="176" customWidth="1"/>
    <col min="5134" max="5135" width="7" style="176" customWidth="1"/>
    <col min="5136" max="5136" width="9.25833333333333" style="176" hidden="1" customWidth="1"/>
    <col min="5137" max="5137" width="19.7583333333333" style="176" customWidth="1"/>
    <col min="5138" max="5149" width="9" style="176" customWidth="1"/>
    <col min="5150" max="5151" width="9" style="176"/>
    <col min="5152" max="5374" width="8.48333333333333" style="176" hidden="1"/>
    <col min="5375" max="5375" width="8.48333333333333" style="176"/>
    <col min="5376" max="5376" width="3.625" style="176" customWidth="1"/>
    <col min="5377" max="5377" width="7.58333333333333" style="176" customWidth="1"/>
    <col min="5378" max="5378" width="32.7583333333333" style="176" customWidth="1"/>
    <col min="5379" max="5379" width="6.5" style="176" customWidth="1"/>
    <col min="5380" max="5380" width="8.25833333333333" style="176" customWidth="1"/>
    <col min="5381" max="5382" width="7" style="176" customWidth="1"/>
    <col min="5383" max="5383" width="8.375" style="176" customWidth="1"/>
    <col min="5384" max="5384" width="8.625" style="176" customWidth="1"/>
    <col min="5385" max="5385" width="8.125" style="176" customWidth="1"/>
    <col min="5386" max="5387" width="7" style="176" customWidth="1"/>
    <col min="5388" max="5389" width="7.875" style="176" customWidth="1"/>
    <col min="5390" max="5391" width="7" style="176" customWidth="1"/>
    <col min="5392" max="5392" width="9.25833333333333" style="176" hidden="1" customWidth="1"/>
    <col min="5393" max="5393" width="19.7583333333333" style="176" customWidth="1"/>
    <col min="5394" max="5405" width="9" style="176" customWidth="1"/>
    <col min="5406" max="5407" width="9" style="176"/>
    <col min="5408" max="5630" width="8.48333333333333" style="176" hidden="1"/>
    <col min="5631" max="5631" width="8.48333333333333" style="176"/>
    <col min="5632" max="5632" width="3.625" style="176" customWidth="1"/>
    <col min="5633" max="5633" width="7.58333333333333" style="176" customWidth="1"/>
    <col min="5634" max="5634" width="32.7583333333333" style="176" customWidth="1"/>
    <col min="5635" max="5635" width="6.5" style="176" customWidth="1"/>
    <col min="5636" max="5636" width="8.25833333333333" style="176" customWidth="1"/>
    <col min="5637" max="5638" width="7" style="176" customWidth="1"/>
    <col min="5639" max="5639" width="8.375" style="176" customWidth="1"/>
    <col min="5640" max="5640" width="8.625" style="176" customWidth="1"/>
    <col min="5641" max="5641" width="8.125" style="176" customWidth="1"/>
    <col min="5642" max="5643" width="7" style="176" customWidth="1"/>
    <col min="5644" max="5645" width="7.875" style="176" customWidth="1"/>
    <col min="5646" max="5647" width="7" style="176" customWidth="1"/>
    <col min="5648" max="5648" width="9.25833333333333" style="176" hidden="1" customWidth="1"/>
    <col min="5649" max="5649" width="19.7583333333333" style="176" customWidth="1"/>
    <col min="5650" max="5661" width="9" style="176" customWidth="1"/>
    <col min="5662" max="5663" width="9" style="176"/>
    <col min="5664" max="5886" width="8.48333333333333" style="176" hidden="1"/>
    <col min="5887" max="5887" width="8.48333333333333" style="176"/>
    <col min="5888" max="5888" width="3.625" style="176" customWidth="1"/>
    <col min="5889" max="5889" width="7.58333333333333" style="176" customWidth="1"/>
    <col min="5890" max="5890" width="32.7583333333333" style="176" customWidth="1"/>
    <col min="5891" max="5891" width="6.5" style="176" customWidth="1"/>
    <col min="5892" max="5892" width="8.25833333333333" style="176" customWidth="1"/>
    <col min="5893" max="5894" width="7" style="176" customWidth="1"/>
    <col min="5895" max="5895" width="8.375" style="176" customWidth="1"/>
    <col min="5896" max="5896" width="8.625" style="176" customWidth="1"/>
    <col min="5897" max="5897" width="8.125" style="176" customWidth="1"/>
    <col min="5898" max="5899" width="7" style="176" customWidth="1"/>
    <col min="5900" max="5901" width="7.875" style="176" customWidth="1"/>
    <col min="5902" max="5903" width="7" style="176" customWidth="1"/>
    <col min="5904" max="5904" width="9.25833333333333" style="176" hidden="1" customWidth="1"/>
    <col min="5905" max="5905" width="19.7583333333333" style="176" customWidth="1"/>
    <col min="5906" max="5917" width="9" style="176" customWidth="1"/>
    <col min="5918" max="5919" width="9" style="176"/>
    <col min="5920" max="6142" width="8.48333333333333" style="176" hidden="1"/>
    <col min="6143" max="6143" width="8.48333333333333" style="176"/>
    <col min="6144" max="6144" width="3.625" style="176" customWidth="1"/>
    <col min="6145" max="6145" width="7.58333333333333" style="176" customWidth="1"/>
    <col min="6146" max="6146" width="32.7583333333333" style="176" customWidth="1"/>
    <col min="6147" max="6147" width="6.5" style="176" customWidth="1"/>
    <col min="6148" max="6148" width="8.25833333333333" style="176" customWidth="1"/>
    <col min="6149" max="6150" width="7" style="176" customWidth="1"/>
    <col min="6151" max="6151" width="8.375" style="176" customWidth="1"/>
    <col min="6152" max="6152" width="8.625" style="176" customWidth="1"/>
    <col min="6153" max="6153" width="8.125" style="176" customWidth="1"/>
    <col min="6154" max="6155" width="7" style="176" customWidth="1"/>
    <col min="6156" max="6157" width="7.875" style="176" customWidth="1"/>
    <col min="6158" max="6159" width="7" style="176" customWidth="1"/>
    <col min="6160" max="6160" width="9.25833333333333" style="176" hidden="1" customWidth="1"/>
    <col min="6161" max="6161" width="19.7583333333333" style="176" customWidth="1"/>
    <col min="6162" max="6173" width="9" style="176" customWidth="1"/>
    <col min="6174" max="6175" width="9" style="176"/>
    <col min="6176" max="6398" width="8.48333333333333" style="176" hidden="1"/>
    <col min="6399" max="6399" width="8.48333333333333" style="176"/>
    <col min="6400" max="6400" width="3.625" style="176" customWidth="1"/>
    <col min="6401" max="6401" width="7.58333333333333" style="176" customWidth="1"/>
    <col min="6402" max="6402" width="32.7583333333333" style="176" customWidth="1"/>
    <col min="6403" max="6403" width="6.5" style="176" customWidth="1"/>
    <col min="6404" max="6404" width="8.25833333333333" style="176" customWidth="1"/>
    <col min="6405" max="6406" width="7" style="176" customWidth="1"/>
    <col min="6407" max="6407" width="8.375" style="176" customWidth="1"/>
    <col min="6408" max="6408" width="8.625" style="176" customWidth="1"/>
    <col min="6409" max="6409" width="8.125" style="176" customWidth="1"/>
    <col min="6410" max="6411" width="7" style="176" customWidth="1"/>
    <col min="6412" max="6413" width="7.875" style="176" customWidth="1"/>
    <col min="6414" max="6415" width="7" style="176" customWidth="1"/>
    <col min="6416" max="6416" width="9.25833333333333" style="176" hidden="1" customWidth="1"/>
    <col min="6417" max="6417" width="19.7583333333333" style="176" customWidth="1"/>
    <col min="6418" max="6429" width="9" style="176" customWidth="1"/>
    <col min="6430" max="6431" width="9" style="176"/>
    <col min="6432" max="6654" width="8.48333333333333" style="176" hidden="1"/>
    <col min="6655" max="6655" width="8.48333333333333" style="176"/>
    <col min="6656" max="6656" width="3.625" style="176" customWidth="1"/>
    <col min="6657" max="6657" width="7.58333333333333" style="176" customWidth="1"/>
    <col min="6658" max="6658" width="32.7583333333333" style="176" customWidth="1"/>
    <col min="6659" max="6659" width="6.5" style="176" customWidth="1"/>
    <col min="6660" max="6660" width="8.25833333333333" style="176" customWidth="1"/>
    <col min="6661" max="6662" width="7" style="176" customWidth="1"/>
    <col min="6663" max="6663" width="8.375" style="176" customWidth="1"/>
    <col min="6664" max="6664" width="8.625" style="176" customWidth="1"/>
    <col min="6665" max="6665" width="8.125" style="176" customWidth="1"/>
    <col min="6666" max="6667" width="7" style="176" customWidth="1"/>
    <col min="6668" max="6669" width="7.875" style="176" customWidth="1"/>
    <col min="6670" max="6671" width="7" style="176" customWidth="1"/>
    <col min="6672" max="6672" width="9.25833333333333" style="176" hidden="1" customWidth="1"/>
    <col min="6673" max="6673" width="19.7583333333333" style="176" customWidth="1"/>
    <col min="6674" max="6685" width="9" style="176" customWidth="1"/>
    <col min="6686" max="6687" width="9" style="176"/>
    <col min="6688" max="6910" width="8.48333333333333" style="176" hidden="1"/>
    <col min="6911" max="6911" width="8.48333333333333" style="176"/>
    <col min="6912" max="6912" width="3.625" style="176" customWidth="1"/>
    <col min="6913" max="6913" width="7.58333333333333" style="176" customWidth="1"/>
    <col min="6914" max="6914" width="32.7583333333333" style="176" customWidth="1"/>
    <col min="6915" max="6915" width="6.5" style="176" customWidth="1"/>
    <col min="6916" max="6916" width="8.25833333333333" style="176" customWidth="1"/>
    <col min="6917" max="6918" width="7" style="176" customWidth="1"/>
    <col min="6919" max="6919" width="8.375" style="176" customWidth="1"/>
    <col min="6920" max="6920" width="8.625" style="176" customWidth="1"/>
    <col min="6921" max="6921" width="8.125" style="176" customWidth="1"/>
    <col min="6922" max="6923" width="7" style="176" customWidth="1"/>
    <col min="6924" max="6925" width="7.875" style="176" customWidth="1"/>
    <col min="6926" max="6927" width="7" style="176" customWidth="1"/>
    <col min="6928" max="6928" width="9.25833333333333" style="176" hidden="1" customWidth="1"/>
    <col min="6929" max="6929" width="19.7583333333333" style="176" customWidth="1"/>
    <col min="6930" max="6941" width="9" style="176" customWidth="1"/>
    <col min="6942" max="6943" width="9" style="176"/>
    <col min="6944" max="7166" width="8.48333333333333" style="176" hidden="1"/>
    <col min="7167" max="7167" width="8.48333333333333" style="176"/>
    <col min="7168" max="7168" width="3.625" style="176" customWidth="1"/>
    <col min="7169" max="7169" width="7.58333333333333" style="176" customWidth="1"/>
    <col min="7170" max="7170" width="32.7583333333333" style="176" customWidth="1"/>
    <col min="7171" max="7171" width="6.5" style="176" customWidth="1"/>
    <col min="7172" max="7172" width="8.25833333333333" style="176" customWidth="1"/>
    <col min="7173" max="7174" width="7" style="176" customWidth="1"/>
    <col min="7175" max="7175" width="8.375" style="176" customWidth="1"/>
    <col min="7176" max="7176" width="8.625" style="176" customWidth="1"/>
    <col min="7177" max="7177" width="8.125" style="176" customWidth="1"/>
    <col min="7178" max="7179" width="7" style="176" customWidth="1"/>
    <col min="7180" max="7181" width="7.875" style="176" customWidth="1"/>
    <col min="7182" max="7183" width="7" style="176" customWidth="1"/>
    <col min="7184" max="7184" width="9.25833333333333" style="176" hidden="1" customWidth="1"/>
    <col min="7185" max="7185" width="19.7583333333333" style="176" customWidth="1"/>
    <col min="7186" max="7197" width="9" style="176" customWidth="1"/>
    <col min="7198" max="7199" width="9" style="176"/>
    <col min="7200" max="7422" width="8.48333333333333" style="176" hidden="1"/>
    <col min="7423" max="7423" width="8.48333333333333" style="176"/>
    <col min="7424" max="7424" width="3.625" style="176" customWidth="1"/>
    <col min="7425" max="7425" width="7.58333333333333" style="176" customWidth="1"/>
    <col min="7426" max="7426" width="32.7583333333333" style="176" customWidth="1"/>
    <col min="7427" max="7427" width="6.5" style="176" customWidth="1"/>
    <col min="7428" max="7428" width="8.25833333333333" style="176" customWidth="1"/>
    <col min="7429" max="7430" width="7" style="176" customWidth="1"/>
    <col min="7431" max="7431" width="8.375" style="176" customWidth="1"/>
    <col min="7432" max="7432" width="8.625" style="176" customWidth="1"/>
    <col min="7433" max="7433" width="8.125" style="176" customWidth="1"/>
    <col min="7434" max="7435" width="7" style="176" customWidth="1"/>
    <col min="7436" max="7437" width="7.875" style="176" customWidth="1"/>
    <col min="7438" max="7439" width="7" style="176" customWidth="1"/>
    <col min="7440" max="7440" width="9.25833333333333" style="176" hidden="1" customWidth="1"/>
    <col min="7441" max="7441" width="19.7583333333333" style="176" customWidth="1"/>
    <col min="7442" max="7453" width="9" style="176" customWidth="1"/>
    <col min="7454" max="7455" width="9" style="176"/>
    <col min="7456" max="7678" width="8.48333333333333" style="176" hidden="1"/>
    <col min="7679" max="7679" width="8.48333333333333" style="176"/>
    <col min="7680" max="7680" width="3.625" style="176" customWidth="1"/>
    <col min="7681" max="7681" width="7.58333333333333" style="176" customWidth="1"/>
    <col min="7682" max="7682" width="32.7583333333333" style="176" customWidth="1"/>
    <col min="7683" max="7683" width="6.5" style="176" customWidth="1"/>
    <col min="7684" max="7684" width="8.25833333333333" style="176" customWidth="1"/>
    <col min="7685" max="7686" width="7" style="176" customWidth="1"/>
    <col min="7687" max="7687" width="8.375" style="176" customWidth="1"/>
    <col min="7688" max="7688" width="8.625" style="176" customWidth="1"/>
    <col min="7689" max="7689" width="8.125" style="176" customWidth="1"/>
    <col min="7690" max="7691" width="7" style="176" customWidth="1"/>
    <col min="7692" max="7693" width="7.875" style="176" customWidth="1"/>
    <col min="7694" max="7695" width="7" style="176" customWidth="1"/>
    <col min="7696" max="7696" width="9.25833333333333" style="176" hidden="1" customWidth="1"/>
    <col min="7697" max="7697" width="19.7583333333333" style="176" customWidth="1"/>
    <col min="7698" max="7709" width="9" style="176" customWidth="1"/>
    <col min="7710" max="7711" width="9" style="176"/>
    <col min="7712" max="7934" width="8.48333333333333" style="176" hidden="1"/>
    <col min="7935" max="7935" width="8.48333333333333" style="176"/>
    <col min="7936" max="7936" width="3.625" style="176" customWidth="1"/>
    <col min="7937" max="7937" width="7.58333333333333" style="176" customWidth="1"/>
    <col min="7938" max="7938" width="32.7583333333333" style="176" customWidth="1"/>
    <col min="7939" max="7939" width="6.5" style="176" customWidth="1"/>
    <col min="7940" max="7940" width="8.25833333333333" style="176" customWidth="1"/>
    <col min="7941" max="7942" width="7" style="176" customWidth="1"/>
    <col min="7943" max="7943" width="8.375" style="176" customWidth="1"/>
    <col min="7944" max="7944" width="8.625" style="176" customWidth="1"/>
    <col min="7945" max="7945" width="8.125" style="176" customWidth="1"/>
    <col min="7946" max="7947" width="7" style="176" customWidth="1"/>
    <col min="7948" max="7949" width="7.875" style="176" customWidth="1"/>
    <col min="7950" max="7951" width="7" style="176" customWidth="1"/>
    <col min="7952" max="7952" width="9.25833333333333" style="176" hidden="1" customWidth="1"/>
    <col min="7953" max="7953" width="19.7583333333333" style="176" customWidth="1"/>
    <col min="7954" max="7965" width="9" style="176" customWidth="1"/>
    <col min="7966" max="7967" width="9" style="176"/>
    <col min="7968" max="8190" width="8.48333333333333" style="176" hidden="1"/>
    <col min="8191" max="8191" width="8.48333333333333" style="176"/>
    <col min="8192" max="8192" width="3.625" style="176" customWidth="1"/>
    <col min="8193" max="8193" width="7.58333333333333" style="176" customWidth="1"/>
    <col min="8194" max="8194" width="32.7583333333333" style="176" customWidth="1"/>
    <col min="8195" max="8195" width="6.5" style="176" customWidth="1"/>
    <col min="8196" max="8196" width="8.25833333333333" style="176" customWidth="1"/>
    <col min="8197" max="8198" width="7" style="176" customWidth="1"/>
    <col min="8199" max="8199" width="8.375" style="176" customWidth="1"/>
    <col min="8200" max="8200" width="8.625" style="176" customWidth="1"/>
    <col min="8201" max="8201" width="8.125" style="176" customWidth="1"/>
    <col min="8202" max="8203" width="7" style="176" customWidth="1"/>
    <col min="8204" max="8205" width="7.875" style="176" customWidth="1"/>
    <col min="8206" max="8207" width="7" style="176" customWidth="1"/>
    <col min="8208" max="8208" width="9.25833333333333" style="176" hidden="1" customWidth="1"/>
    <col min="8209" max="8209" width="19.7583333333333" style="176" customWidth="1"/>
    <col min="8210" max="8221" width="9" style="176" customWidth="1"/>
    <col min="8222" max="8223" width="9" style="176"/>
    <col min="8224" max="8446" width="8.48333333333333" style="176" hidden="1"/>
    <col min="8447" max="8447" width="8.48333333333333" style="176"/>
    <col min="8448" max="8448" width="3.625" style="176" customWidth="1"/>
    <col min="8449" max="8449" width="7.58333333333333" style="176" customWidth="1"/>
    <col min="8450" max="8450" width="32.7583333333333" style="176" customWidth="1"/>
    <col min="8451" max="8451" width="6.5" style="176" customWidth="1"/>
    <col min="8452" max="8452" width="8.25833333333333" style="176" customWidth="1"/>
    <col min="8453" max="8454" width="7" style="176" customWidth="1"/>
    <col min="8455" max="8455" width="8.375" style="176" customWidth="1"/>
    <col min="8456" max="8456" width="8.625" style="176" customWidth="1"/>
    <col min="8457" max="8457" width="8.125" style="176" customWidth="1"/>
    <col min="8458" max="8459" width="7" style="176" customWidth="1"/>
    <col min="8460" max="8461" width="7.875" style="176" customWidth="1"/>
    <col min="8462" max="8463" width="7" style="176" customWidth="1"/>
    <col min="8464" max="8464" width="9.25833333333333" style="176" hidden="1" customWidth="1"/>
    <col min="8465" max="8465" width="19.7583333333333" style="176" customWidth="1"/>
    <col min="8466" max="8477" width="9" style="176" customWidth="1"/>
    <col min="8478" max="8479" width="9" style="176"/>
    <col min="8480" max="8702" width="8.48333333333333" style="176" hidden="1"/>
    <col min="8703" max="8703" width="8.48333333333333" style="176"/>
    <col min="8704" max="8704" width="3.625" style="176" customWidth="1"/>
    <col min="8705" max="8705" width="7.58333333333333" style="176" customWidth="1"/>
    <col min="8706" max="8706" width="32.7583333333333" style="176" customWidth="1"/>
    <col min="8707" max="8707" width="6.5" style="176" customWidth="1"/>
    <col min="8708" max="8708" width="8.25833333333333" style="176" customWidth="1"/>
    <col min="8709" max="8710" width="7" style="176" customWidth="1"/>
    <col min="8711" max="8711" width="8.375" style="176" customWidth="1"/>
    <col min="8712" max="8712" width="8.625" style="176" customWidth="1"/>
    <col min="8713" max="8713" width="8.125" style="176" customWidth="1"/>
    <col min="8714" max="8715" width="7" style="176" customWidth="1"/>
    <col min="8716" max="8717" width="7.875" style="176" customWidth="1"/>
    <col min="8718" max="8719" width="7" style="176" customWidth="1"/>
    <col min="8720" max="8720" width="9.25833333333333" style="176" hidden="1" customWidth="1"/>
    <col min="8721" max="8721" width="19.7583333333333" style="176" customWidth="1"/>
    <col min="8722" max="8733" width="9" style="176" customWidth="1"/>
    <col min="8734" max="8735" width="9" style="176"/>
    <col min="8736" max="8958" width="8.48333333333333" style="176" hidden="1"/>
    <col min="8959" max="8959" width="8.48333333333333" style="176"/>
    <col min="8960" max="8960" width="3.625" style="176" customWidth="1"/>
    <col min="8961" max="8961" width="7.58333333333333" style="176" customWidth="1"/>
    <col min="8962" max="8962" width="32.7583333333333" style="176" customWidth="1"/>
    <col min="8963" max="8963" width="6.5" style="176" customWidth="1"/>
    <col min="8964" max="8964" width="8.25833333333333" style="176" customWidth="1"/>
    <col min="8965" max="8966" width="7" style="176" customWidth="1"/>
    <col min="8967" max="8967" width="8.375" style="176" customWidth="1"/>
    <col min="8968" max="8968" width="8.625" style="176" customWidth="1"/>
    <col min="8969" max="8969" width="8.125" style="176" customWidth="1"/>
    <col min="8970" max="8971" width="7" style="176" customWidth="1"/>
    <col min="8972" max="8973" width="7.875" style="176" customWidth="1"/>
    <col min="8974" max="8975" width="7" style="176" customWidth="1"/>
    <col min="8976" max="8976" width="9.25833333333333" style="176" hidden="1" customWidth="1"/>
    <col min="8977" max="8977" width="19.7583333333333" style="176" customWidth="1"/>
    <col min="8978" max="8989" width="9" style="176" customWidth="1"/>
    <col min="8990" max="8991" width="9" style="176"/>
    <col min="8992" max="9214" width="8.48333333333333" style="176" hidden="1"/>
    <col min="9215" max="9215" width="8.48333333333333" style="176"/>
    <col min="9216" max="9216" width="3.625" style="176" customWidth="1"/>
    <col min="9217" max="9217" width="7.58333333333333" style="176" customWidth="1"/>
    <col min="9218" max="9218" width="32.7583333333333" style="176" customWidth="1"/>
    <col min="9219" max="9219" width="6.5" style="176" customWidth="1"/>
    <col min="9220" max="9220" width="8.25833333333333" style="176" customWidth="1"/>
    <col min="9221" max="9222" width="7" style="176" customWidth="1"/>
    <col min="9223" max="9223" width="8.375" style="176" customWidth="1"/>
    <col min="9224" max="9224" width="8.625" style="176" customWidth="1"/>
    <col min="9225" max="9225" width="8.125" style="176" customWidth="1"/>
    <col min="9226" max="9227" width="7" style="176" customWidth="1"/>
    <col min="9228" max="9229" width="7.875" style="176" customWidth="1"/>
    <col min="9230" max="9231" width="7" style="176" customWidth="1"/>
    <col min="9232" max="9232" width="9.25833333333333" style="176" hidden="1" customWidth="1"/>
    <col min="9233" max="9233" width="19.7583333333333" style="176" customWidth="1"/>
    <col min="9234" max="9245" width="9" style="176" customWidth="1"/>
    <col min="9246" max="9247" width="9" style="176"/>
    <col min="9248" max="9470" width="8.48333333333333" style="176" hidden="1"/>
    <col min="9471" max="9471" width="8.48333333333333" style="176"/>
    <col min="9472" max="9472" width="3.625" style="176" customWidth="1"/>
    <col min="9473" max="9473" width="7.58333333333333" style="176" customWidth="1"/>
    <col min="9474" max="9474" width="32.7583333333333" style="176" customWidth="1"/>
    <col min="9475" max="9475" width="6.5" style="176" customWidth="1"/>
    <col min="9476" max="9476" width="8.25833333333333" style="176" customWidth="1"/>
    <col min="9477" max="9478" width="7" style="176" customWidth="1"/>
    <col min="9479" max="9479" width="8.375" style="176" customWidth="1"/>
    <col min="9480" max="9480" width="8.625" style="176" customWidth="1"/>
    <col min="9481" max="9481" width="8.125" style="176" customWidth="1"/>
    <col min="9482" max="9483" width="7" style="176" customWidth="1"/>
    <col min="9484" max="9485" width="7.875" style="176" customWidth="1"/>
    <col min="9486" max="9487" width="7" style="176" customWidth="1"/>
    <col min="9488" max="9488" width="9.25833333333333" style="176" hidden="1" customWidth="1"/>
    <col min="9489" max="9489" width="19.7583333333333" style="176" customWidth="1"/>
    <col min="9490" max="9501" width="9" style="176" customWidth="1"/>
    <col min="9502" max="9503" width="9" style="176"/>
    <col min="9504" max="9726" width="8.48333333333333" style="176" hidden="1"/>
    <col min="9727" max="9727" width="8.48333333333333" style="176"/>
    <col min="9728" max="9728" width="3.625" style="176" customWidth="1"/>
    <col min="9729" max="9729" width="7.58333333333333" style="176" customWidth="1"/>
    <col min="9730" max="9730" width="32.7583333333333" style="176" customWidth="1"/>
    <col min="9731" max="9731" width="6.5" style="176" customWidth="1"/>
    <col min="9732" max="9732" width="8.25833333333333" style="176" customWidth="1"/>
    <col min="9733" max="9734" width="7" style="176" customWidth="1"/>
    <col min="9735" max="9735" width="8.375" style="176" customWidth="1"/>
    <col min="9736" max="9736" width="8.625" style="176" customWidth="1"/>
    <col min="9737" max="9737" width="8.125" style="176" customWidth="1"/>
    <col min="9738" max="9739" width="7" style="176" customWidth="1"/>
    <col min="9740" max="9741" width="7.875" style="176" customWidth="1"/>
    <col min="9742" max="9743" width="7" style="176" customWidth="1"/>
    <col min="9744" max="9744" width="9.25833333333333" style="176" hidden="1" customWidth="1"/>
    <col min="9745" max="9745" width="19.7583333333333" style="176" customWidth="1"/>
    <col min="9746" max="9757" width="9" style="176" customWidth="1"/>
    <col min="9758" max="9759" width="9" style="176"/>
    <col min="9760" max="9982" width="8.48333333333333" style="176" hidden="1"/>
    <col min="9983" max="9983" width="8.48333333333333" style="176"/>
    <col min="9984" max="9984" width="3.625" style="176" customWidth="1"/>
    <col min="9985" max="9985" width="7.58333333333333" style="176" customWidth="1"/>
    <col min="9986" max="9986" width="32.7583333333333" style="176" customWidth="1"/>
    <col min="9987" max="9987" width="6.5" style="176" customWidth="1"/>
    <col min="9988" max="9988" width="8.25833333333333" style="176" customWidth="1"/>
    <col min="9989" max="9990" width="7" style="176" customWidth="1"/>
    <col min="9991" max="9991" width="8.375" style="176" customWidth="1"/>
    <col min="9992" max="9992" width="8.625" style="176" customWidth="1"/>
    <col min="9993" max="9993" width="8.125" style="176" customWidth="1"/>
    <col min="9994" max="9995" width="7" style="176" customWidth="1"/>
    <col min="9996" max="9997" width="7.875" style="176" customWidth="1"/>
    <col min="9998" max="9999" width="7" style="176" customWidth="1"/>
    <col min="10000" max="10000" width="9.25833333333333" style="176" hidden="1" customWidth="1"/>
    <col min="10001" max="10001" width="19.7583333333333" style="176" customWidth="1"/>
    <col min="10002" max="10013" width="9" style="176" customWidth="1"/>
    <col min="10014" max="10015" width="9" style="176"/>
    <col min="10016" max="10238" width="8.48333333333333" style="176" hidden="1"/>
    <col min="10239" max="10239" width="8.48333333333333" style="176"/>
    <col min="10240" max="10240" width="3.625" style="176" customWidth="1"/>
    <col min="10241" max="10241" width="7.58333333333333" style="176" customWidth="1"/>
    <col min="10242" max="10242" width="32.7583333333333" style="176" customWidth="1"/>
    <col min="10243" max="10243" width="6.5" style="176" customWidth="1"/>
    <col min="10244" max="10244" width="8.25833333333333" style="176" customWidth="1"/>
    <col min="10245" max="10246" width="7" style="176" customWidth="1"/>
    <col min="10247" max="10247" width="8.375" style="176" customWidth="1"/>
    <col min="10248" max="10248" width="8.625" style="176" customWidth="1"/>
    <col min="10249" max="10249" width="8.125" style="176" customWidth="1"/>
    <col min="10250" max="10251" width="7" style="176" customWidth="1"/>
    <col min="10252" max="10253" width="7.875" style="176" customWidth="1"/>
    <col min="10254" max="10255" width="7" style="176" customWidth="1"/>
    <col min="10256" max="10256" width="9.25833333333333" style="176" hidden="1" customWidth="1"/>
    <col min="10257" max="10257" width="19.7583333333333" style="176" customWidth="1"/>
    <col min="10258" max="10269" width="9" style="176" customWidth="1"/>
    <col min="10270" max="10271" width="9" style="176"/>
    <col min="10272" max="10494" width="8.48333333333333" style="176" hidden="1"/>
    <col min="10495" max="10495" width="8.48333333333333" style="176"/>
    <col min="10496" max="10496" width="3.625" style="176" customWidth="1"/>
    <col min="10497" max="10497" width="7.58333333333333" style="176" customWidth="1"/>
    <col min="10498" max="10498" width="32.7583333333333" style="176" customWidth="1"/>
    <col min="10499" max="10499" width="6.5" style="176" customWidth="1"/>
    <col min="10500" max="10500" width="8.25833333333333" style="176" customWidth="1"/>
    <col min="10501" max="10502" width="7" style="176" customWidth="1"/>
    <col min="10503" max="10503" width="8.375" style="176" customWidth="1"/>
    <col min="10504" max="10504" width="8.625" style="176" customWidth="1"/>
    <col min="10505" max="10505" width="8.125" style="176" customWidth="1"/>
    <col min="10506" max="10507" width="7" style="176" customWidth="1"/>
    <col min="10508" max="10509" width="7.875" style="176" customWidth="1"/>
    <col min="10510" max="10511" width="7" style="176" customWidth="1"/>
    <col min="10512" max="10512" width="9.25833333333333" style="176" hidden="1" customWidth="1"/>
    <col min="10513" max="10513" width="19.7583333333333" style="176" customWidth="1"/>
    <col min="10514" max="10525" width="9" style="176" customWidth="1"/>
    <col min="10526" max="10527" width="9" style="176"/>
    <col min="10528" max="10750" width="8.48333333333333" style="176" hidden="1"/>
    <col min="10751" max="10751" width="8.48333333333333" style="176"/>
    <col min="10752" max="10752" width="3.625" style="176" customWidth="1"/>
    <col min="10753" max="10753" width="7.58333333333333" style="176" customWidth="1"/>
    <col min="10754" max="10754" width="32.7583333333333" style="176" customWidth="1"/>
    <col min="10755" max="10755" width="6.5" style="176" customWidth="1"/>
    <col min="10756" max="10756" width="8.25833333333333" style="176" customWidth="1"/>
    <col min="10757" max="10758" width="7" style="176" customWidth="1"/>
    <col min="10759" max="10759" width="8.375" style="176" customWidth="1"/>
    <col min="10760" max="10760" width="8.625" style="176" customWidth="1"/>
    <col min="10761" max="10761" width="8.125" style="176" customWidth="1"/>
    <col min="10762" max="10763" width="7" style="176" customWidth="1"/>
    <col min="10764" max="10765" width="7.875" style="176" customWidth="1"/>
    <col min="10766" max="10767" width="7" style="176" customWidth="1"/>
    <col min="10768" max="10768" width="9.25833333333333" style="176" hidden="1" customWidth="1"/>
    <col min="10769" max="10769" width="19.7583333333333" style="176" customWidth="1"/>
    <col min="10770" max="10781" width="9" style="176" customWidth="1"/>
    <col min="10782" max="10783" width="9" style="176"/>
    <col min="10784" max="11006" width="8.48333333333333" style="176" hidden="1"/>
    <col min="11007" max="11007" width="8.48333333333333" style="176"/>
    <col min="11008" max="11008" width="3.625" style="176" customWidth="1"/>
    <col min="11009" max="11009" width="7.58333333333333" style="176" customWidth="1"/>
    <col min="11010" max="11010" width="32.7583333333333" style="176" customWidth="1"/>
    <col min="11011" max="11011" width="6.5" style="176" customWidth="1"/>
    <col min="11012" max="11012" width="8.25833333333333" style="176" customWidth="1"/>
    <col min="11013" max="11014" width="7" style="176" customWidth="1"/>
    <col min="11015" max="11015" width="8.375" style="176" customWidth="1"/>
    <col min="11016" max="11016" width="8.625" style="176" customWidth="1"/>
    <col min="11017" max="11017" width="8.125" style="176" customWidth="1"/>
    <col min="11018" max="11019" width="7" style="176" customWidth="1"/>
    <col min="11020" max="11021" width="7.875" style="176" customWidth="1"/>
    <col min="11022" max="11023" width="7" style="176" customWidth="1"/>
    <col min="11024" max="11024" width="9.25833333333333" style="176" hidden="1" customWidth="1"/>
    <col min="11025" max="11025" width="19.7583333333333" style="176" customWidth="1"/>
    <col min="11026" max="11037" width="9" style="176" customWidth="1"/>
    <col min="11038" max="11039" width="9" style="176"/>
    <col min="11040" max="11262" width="8.48333333333333" style="176" hidden="1"/>
    <col min="11263" max="11263" width="8.48333333333333" style="176"/>
    <col min="11264" max="11264" width="3.625" style="176" customWidth="1"/>
    <col min="11265" max="11265" width="7.58333333333333" style="176" customWidth="1"/>
    <col min="11266" max="11266" width="32.7583333333333" style="176" customWidth="1"/>
    <col min="11267" max="11267" width="6.5" style="176" customWidth="1"/>
    <col min="11268" max="11268" width="8.25833333333333" style="176" customWidth="1"/>
    <col min="11269" max="11270" width="7" style="176" customWidth="1"/>
    <col min="11271" max="11271" width="8.375" style="176" customWidth="1"/>
    <col min="11272" max="11272" width="8.625" style="176" customWidth="1"/>
    <col min="11273" max="11273" width="8.125" style="176" customWidth="1"/>
    <col min="11274" max="11275" width="7" style="176" customWidth="1"/>
    <col min="11276" max="11277" width="7.875" style="176" customWidth="1"/>
    <col min="11278" max="11279" width="7" style="176" customWidth="1"/>
    <col min="11280" max="11280" width="9.25833333333333" style="176" hidden="1" customWidth="1"/>
    <col min="11281" max="11281" width="19.7583333333333" style="176" customWidth="1"/>
    <col min="11282" max="11293" width="9" style="176" customWidth="1"/>
    <col min="11294" max="11295" width="9" style="176"/>
    <col min="11296" max="11518" width="8.48333333333333" style="176" hidden="1"/>
    <col min="11519" max="11519" width="8.48333333333333" style="176"/>
    <col min="11520" max="11520" width="3.625" style="176" customWidth="1"/>
    <col min="11521" max="11521" width="7.58333333333333" style="176" customWidth="1"/>
    <col min="11522" max="11522" width="32.7583333333333" style="176" customWidth="1"/>
    <col min="11523" max="11523" width="6.5" style="176" customWidth="1"/>
    <col min="11524" max="11524" width="8.25833333333333" style="176" customWidth="1"/>
    <col min="11525" max="11526" width="7" style="176" customWidth="1"/>
    <col min="11527" max="11527" width="8.375" style="176" customWidth="1"/>
    <col min="11528" max="11528" width="8.625" style="176" customWidth="1"/>
    <col min="11529" max="11529" width="8.125" style="176" customWidth="1"/>
    <col min="11530" max="11531" width="7" style="176" customWidth="1"/>
    <col min="11532" max="11533" width="7.875" style="176" customWidth="1"/>
    <col min="11534" max="11535" width="7" style="176" customWidth="1"/>
    <col min="11536" max="11536" width="9.25833333333333" style="176" hidden="1" customWidth="1"/>
    <col min="11537" max="11537" width="19.7583333333333" style="176" customWidth="1"/>
    <col min="11538" max="11549" width="9" style="176" customWidth="1"/>
    <col min="11550" max="11551" width="9" style="176"/>
    <col min="11552" max="11774" width="8.48333333333333" style="176" hidden="1"/>
    <col min="11775" max="11775" width="8.48333333333333" style="176"/>
    <col min="11776" max="11776" width="3.625" style="176" customWidth="1"/>
    <col min="11777" max="11777" width="7.58333333333333" style="176" customWidth="1"/>
    <col min="11778" max="11778" width="32.7583333333333" style="176" customWidth="1"/>
    <col min="11779" max="11779" width="6.5" style="176" customWidth="1"/>
    <col min="11780" max="11780" width="8.25833333333333" style="176" customWidth="1"/>
    <col min="11781" max="11782" width="7" style="176" customWidth="1"/>
    <col min="11783" max="11783" width="8.375" style="176" customWidth="1"/>
    <col min="11784" max="11784" width="8.625" style="176" customWidth="1"/>
    <col min="11785" max="11785" width="8.125" style="176" customWidth="1"/>
    <col min="11786" max="11787" width="7" style="176" customWidth="1"/>
    <col min="11788" max="11789" width="7.875" style="176" customWidth="1"/>
    <col min="11790" max="11791" width="7" style="176" customWidth="1"/>
    <col min="11792" max="11792" width="9.25833333333333" style="176" hidden="1" customWidth="1"/>
    <col min="11793" max="11793" width="19.7583333333333" style="176" customWidth="1"/>
    <col min="11794" max="11805" width="9" style="176" customWidth="1"/>
    <col min="11806" max="11807" width="9" style="176"/>
    <col min="11808" max="12030" width="8.48333333333333" style="176" hidden="1"/>
    <col min="12031" max="12031" width="8.48333333333333" style="176"/>
    <col min="12032" max="12032" width="3.625" style="176" customWidth="1"/>
    <col min="12033" max="12033" width="7.58333333333333" style="176" customWidth="1"/>
    <col min="12034" max="12034" width="32.7583333333333" style="176" customWidth="1"/>
    <col min="12035" max="12035" width="6.5" style="176" customWidth="1"/>
    <col min="12036" max="12036" width="8.25833333333333" style="176" customWidth="1"/>
    <col min="12037" max="12038" width="7" style="176" customWidth="1"/>
    <col min="12039" max="12039" width="8.375" style="176" customWidth="1"/>
    <col min="12040" max="12040" width="8.625" style="176" customWidth="1"/>
    <col min="12041" max="12041" width="8.125" style="176" customWidth="1"/>
    <col min="12042" max="12043" width="7" style="176" customWidth="1"/>
    <col min="12044" max="12045" width="7.875" style="176" customWidth="1"/>
    <col min="12046" max="12047" width="7" style="176" customWidth="1"/>
    <col min="12048" max="12048" width="9.25833333333333" style="176" hidden="1" customWidth="1"/>
    <col min="12049" max="12049" width="19.7583333333333" style="176" customWidth="1"/>
    <col min="12050" max="12061" width="9" style="176" customWidth="1"/>
    <col min="12062" max="12063" width="9" style="176"/>
    <col min="12064" max="12286" width="8.48333333333333" style="176" hidden="1"/>
    <col min="12287" max="12287" width="8.48333333333333" style="176"/>
    <col min="12288" max="12288" width="3.625" style="176" customWidth="1"/>
    <col min="12289" max="12289" width="7.58333333333333" style="176" customWidth="1"/>
    <col min="12290" max="12290" width="32.7583333333333" style="176" customWidth="1"/>
    <col min="12291" max="12291" width="6.5" style="176" customWidth="1"/>
    <col min="12292" max="12292" width="8.25833333333333" style="176" customWidth="1"/>
    <col min="12293" max="12294" width="7" style="176" customWidth="1"/>
    <col min="12295" max="12295" width="8.375" style="176" customWidth="1"/>
    <col min="12296" max="12296" width="8.625" style="176" customWidth="1"/>
    <col min="12297" max="12297" width="8.125" style="176" customWidth="1"/>
    <col min="12298" max="12299" width="7" style="176" customWidth="1"/>
    <col min="12300" max="12301" width="7.875" style="176" customWidth="1"/>
    <col min="12302" max="12303" width="7" style="176" customWidth="1"/>
    <col min="12304" max="12304" width="9.25833333333333" style="176" hidden="1" customWidth="1"/>
    <col min="12305" max="12305" width="19.7583333333333" style="176" customWidth="1"/>
    <col min="12306" max="12317" width="9" style="176" customWidth="1"/>
    <col min="12318" max="12319" width="9" style="176"/>
    <col min="12320" max="12542" width="8.48333333333333" style="176" hidden="1"/>
    <col min="12543" max="12543" width="8.48333333333333" style="176"/>
    <col min="12544" max="12544" width="3.625" style="176" customWidth="1"/>
    <col min="12545" max="12545" width="7.58333333333333" style="176" customWidth="1"/>
    <col min="12546" max="12546" width="32.7583333333333" style="176" customWidth="1"/>
    <col min="12547" max="12547" width="6.5" style="176" customWidth="1"/>
    <col min="12548" max="12548" width="8.25833333333333" style="176" customWidth="1"/>
    <col min="12549" max="12550" width="7" style="176" customWidth="1"/>
    <col min="12551" max="12551" width="8.375" style="176" customWidth="1"/>
    <col min="12552" max="12552" width="8.625" style="176" customWidth="1"/>
    <col min="12553" max="12553" width="8.125" style="176" customWidth="1"/>
    <col min="12554" max="12555" width="7" style="176" customWidth="1"/>
    <col min="12556" max="12557" width="7.875" style="176" customWidth="1"/>
    <col min="12558" max="12559" width="7" style="176" customWidth="1"/>
    <col min="12560" max="12560" width="9.25833333333333" style="176" hidden="1" customWidth="1"/>
    <col min="12561" max="12561" width="19.7583333333333" style="176" customWidth="1"/>
    <col min="12562" max="12573" width="9" style="176" customWidth="1"/>
    <col min="12574" max="12575" width="9" style="176"/>
    <col min="12576" max="12798" width="8.48333333333333" style="176" hidden="1"/>
    <col min="12799" max="12799" width="8.48333333333333" style="176"/>
    <col min="12800" max="12800" width="3.625" style="176" customWidth="1"/>
    <col min="12801" max="12801" width="7.58333333333333" style="176" customWidth="1"/>
    <col min="12802" max="12802" width="32.7583333333333" style="176" customWidth="1"/>
    <col min="12803" max="12803" width="6.5" style="176" customWidth="1"/>
    <col min="12804" max="12804" width="8.25833333333333" style="176" customWidth="1"/>
    <col min="12805" max="12806" width="7" style="176" customWidth="1"/>
    <col min="12807" max="12807" width="8.375" style="176" customWidth="1"/>
    <col min="12808" max="12808" width="8.625" style="176" customWidth="1"/>
    <col min="12809" max="12809" width="8.125" style="176" customWidth="1"/>
    <col min="12810" max="12811" width="7" style="176" customWidth="1"/>
    <col min="12812" max="12813" width="7.875" style="176" customWidth="1"/>
    <col min="12814" max="12815" width="7" style="176" customWidth="1"/>
    <col min="12816" max="12816" width="9.25833333333333" style="176" hidden="1" customWidth="1"/>
    <col min="12817" max="12817" width="19.7583333333333" style="176" customWidth="1"/>
    <col min="12818" max="12829" width="9" style="176" customWidth="1"/>
    <col min="12830" max="12831" width="9" style="176"/>
    <col min="12832" max="13054" width="8.48333333333333" style="176" hidden="1"/>
    <col min="13055" max="13055" width="8.48333333333333" style="176"/>
    <col min="13056" max="13056" width="3.625" style="176" customWidth="1"/>
    <col min="13057" max="13057" width="7.58333333333333" style="176" customWidth="1"/>
    <col min="13058" max="13058" width="32.7583333333333" style="176" customWidth="1"/>
    <col min="13059" max="13059" width="6.5" style="176" customWidth="1"/>
    <col min="13060" max="13060" width="8.25833333333333" style="176" customWidth="1"/>
    <col min="13061" max="13062" width="7" style="176" customWidth="1"/>
    <col min="13063" max="13063" width="8.375" style="176" customWidth="1"/>
    <col min="13064" max="13064" width="8.625" style="176" customWidth="1"/>
    <col min="13065" max="13065" width="8.125" style="176" customWidth="1"/>
    <col min="13066" max="13067" width="7" style="176" customWidth="1"/>
    <col min="13068" max="13069" width="7.875" style="176" customWidth="1"/>
    <col min="13070" max="13071" width="7" style="176" customWidth="1"/>
    <col min="13072" max="13072" width="9.25833333333333" style="176" hidden="1" customWidth="1"/>
    <col min="13073" max="13073" width="19.7583333333333" style="176" customWidth="1"/>
    <col min="13074" max="13085" width="9" style="176" customWidth="1"/>
    <col min="13086" max="13087" width="9" style="176"/>
    <col min="13088" max="13310" width="8.48333333333333" style="176" hidden="1"/>
    <col min="13311" max="13311" width="8.48333333333333" style="176"/>
    <col min="13312" max="13312" width="3.625" style="176" customWidth="1"/>
    <col min="13313" max="13313" width="7.58333333333333" style="176" customWidth="1"/>
    <col min="13314" max="13314" width="32.7583333333333" style="176" customWidth="1"/>
    <col min="13315" max="13315" width="6.5" style="176" customWidth="1"/>
    <col min="13316" max="13316" width="8.25833333333333" style="176" customWidth="1"/>
    <col min="13317" max="13318" width="7" style="176" customWidth="1"/>
    <col min="13319" max="13319" width="8.375" style="176" customWidth="1"/>
    <col min="13320" max="13320" width="8.625" style="176" customWidth="1"/>
    <col min="13321" max="13321" width="8.125" style="176" customWidth="1"/>
    <col min="13322" max="13323" width="7" style="176" customWidth="1"/>
    <col min="13324" max="13325" width="7.875" style="176" customWidth="1"/>
    <col min="13326" max="13327" width="7" style="176" customWidth="1"/>
    <col min="13328" max="13328" width="9.25833333333333" style="176" hidden="1" customWidth="1"/>
    <col min="13329" max="13329" width="19.7583333333333" style="176" customWidth="1"/>
    <col min="13330" max="13341" width="9" style="176" customWidth="1"/>
    <col min="13342" max="13343" width="9" style="176"/>
    <col min="13344" max="13566" width="8.48333333333333" style="176" hidden="1"/>
    <col min="13567" max="13567" width="8.48333333333333" style="176"/>
    <col min="13568" max="13568" width="3.625" style="176" customWidth="1"/>
    <col min="13569" max="13569" width="7.58333333333333" style="176" customWidth="1"/>
    <col min="13570" max="13570" width="32.7583333333333" style="176" customWidth="1"/>
    <col min="13571" max="13571" width="6.5" style="176" customWidth="1"/>
    <col min="13572" max="13572" width="8.25833333333333" style="176" customWidth="1"/>
    <col min="13573" max="13574" width="7" style="176" customWidth="1"/>
    <col min="13575" max="13575" width="8.375" style="176" customWidth="1"/>
    <col min="13576" max="13576" width="8.625" style="176" customWidth="1"/>
    <col min="13577" max="13577" width="8.125" style="176" customWidth="1"/>
    <col min="13578" max="13579" width="7" style="176" customWidth="1"/>
    <col min="13580" max="13581" width="7.875" style="176" customWidth="1"/>
    <col min="13582" max="13583" width="7" style="176" customWidth="1"/>
    <col min="13584" max="13584" width="9.25833333333333" style="176" hidden="1" customWidth="1"/>
    <col min="13585" max="13585" width="19.7583333333333" style="176" customWidth="1"/>
    <col min="13586" max="13597" width="9" style="176" customWidth="1"/>
    <col min="13598" max="13599" width="9" style="176"/>
    <col min="13600" max="13822" width="8.48333333333333" style="176" hidden="1"/>
    <col min="13823" max="13823" width="8.48333333333333" style="176"/>
    <col min="13824" max="13824" width="3.625" style="176" customWidth="1"/>
    <col min="13825" max="13825" width="7.58333333333333" style="176" customWidth="1"/>
    <col min="13826" max="13826" width="32.7583333333333" style="176" customWidth="1"/>
    <col min="13827" max="13827" width="6.5" style="176" customWidth="1"/>
    <col min="13828" max="13828" width="8.25833333333333" style="176" customWidth="1"/>
    <col min="13829" max="13830" width="7" style="176" customWidth="1"/>
    <col min="13831" max="13831" width="8.375" style="176" customWidth="1"/>
    <col min="13832" max="13832" width="8.625" style="176" customWidth="1"/>
    <col min="13833" max="13833" width="8.125" style="176" customWidth="1"/>
    <col min="13834" max="13835" width="7" style="176" customWidth="1"/>
    <col min="13836" max="13837" width="7.875" style="176" customWidth="1"/>
    <col min="13838" max="13839" width="7" style="176" customWidth="1"/>
    <col min="13840" max="13840" width="9.25833333333333" style="176" hidden="1" customWidth="1"/>
    <col min="13841" max="13841" width="19.7583333333333" style="176" customWidth="1"/>
    <col min="13842" max="13853" width="9" style="176" customWidth="1"/>
    <col min="13854" max="13855" width="9" style="176"/>
    <col min="13856" max="14078" width="8.48333333333333" style="176" hidden="1"/>
    <col min="14079" max="14079" width="8.48333333333333" style="176"/>
    <col min="14080" max="14080" width="3.625" style="176" customWidth="1"/>
    <col min="14081" max="14081" width="7.58333333333333" style="176" customWidth="1"/>
    <col min="14082" max="14082" width="32.7583333333333" style="176" customWidth="1"/>
    <col min="14083" max="14083" width="6.5" style="176" customWidth="1"/>
    <col min="14084" max="14084" width="8.25833333333333" style="176" customWidth="1"/>
    <col min="14085" max="14086" width="7" style="176" customWidth="1"/>
    <col min="14087" max="14087" width="8.375" style="176" customWidth="1"/>
    <col min="14088" max="14088" width="8.625" style="176" customWidth="1"/>
    <col min="14089" max="14089" width="8.125" style="176" customWidth="1"/>
    <col min="14090" max="14091" width="7" style="176" customWidth="1"/>
    <col min="14092" max="14093" width="7.875" style="176" customWidth="1"/>
    <col min="14094" max="14095" width="7" style="176" customWidth="1"/>
    <col min="14096" max="14096" width="9.25833333333333" style="176" hidden="1" customWidth="1"/>
    <col min="14097" max="14097" width="19.7583333333333" style="176" customWidth="1"/>
    <col min="14098" max="14109" width="9" style="176" customWidth="1"/>
    <col min="14110" max="14111" width="9" style="176"/>
    <col min="14112" max="14334" width="8.48333333333333" style="176" hidden="1"/>
    <col min="14335" max="14335" width="8.48333333333333" style="176"/>
    <col min="14336" max="14336" width="3.625" style="176" customWidth="1"/>
    <col min="14337" max="14337" width="7.58333333333333" style="176" customWidth="1"/>
    <col min="14338" max="14338" width="32.7583333333333" style="176" customWidth="1"/>
    <col min="14339" max="14339" width="6.5" style="176" customWidth="1"/>
    <col min="14340" max="14340" width="8.25833333333333" style="176" customWidth="1"/>
    <col min="14341" max="14342" width="7" style="176" customWidth="1"/>
    <col min="14343" max="14343" width="8.375" style="176" customWidth="1"/>
    <col min="14344" max="14344" width="8.625" style="176" customWidth="1"/>
    <col min="14345" max="14345" width="8.125" style="176" customWidth="1"/>
    <col min="14346" max="14347" width="7" style="176" customWidth="1"/>
    <col min="14348" max="14349" width="7.875" style="176" customWidth="1"/>
    <col min="14350" max="14351" width="7" style="176" customWidth="1"/>
    <col min="14352" max="14352" width="9.25833333333333" style="176" hidden="1" customWidth="1"/>
    <col min="14353" max="14353" width="19.7583333333333" style="176" customWidth="1"/>
    <col min="14354" max="14365" width="9" style="176" customWidth="1"/>
    <col min="14366" max="14367" width="9" style="176"/>
    <col min="14368" max="14590" width="8.48333333333333" style="176" hidden="1"/>
    <col min="14591" max="14591" width="8.48333333333333" style="176"/>
    <col min="14592" max="14592" width="3.625" style="176" customWidth="1"/>
    <col min="14593" max="14593" width="7.58333333333333" style="176" customWidth="1"/>
    <col min="14594" max="14594" width="32.7583333333333" style="176" customWidth="1"/>
    <col min="14595" max="14595" width="6.5" style="176" customWidth="1"/>
    <col min="14596" max="14596" width="8.25833333333333" style="176" customWidth="1"/>
    <col min="14597" max="14598" width="7" style="176" customWidth="1"/>
    <col min="14599" max="14599" width="8.375" style="176" customWidth="1"/>
    <col min="14600" max="14600" width="8.625" style="176" customWidth="1"/>
    <col min="14601" max="14601" width="8.125" style="176" customWidth="1"/>
    <col min="14602" max="14603" width="7" style="176" customWidth="1"/>
    <col min="14604" max="14605" width="7.875" style="176" customWidth="1"/>
    <col min="14606" max="14607" width="7" style="176" customWidth="1"/>
    <col min="14608" max="14608" width="9.25833333333333" style="176" hidden="1" customWidth="1"/>
    <col min="14609" max="14609" width="19.7583333333333" style="176" customWidth="1"/>
    <col min="14610" max="14621" width="9" style="176" customWidth="1"/>
    <col min="14622" max="14623" width="9" style="176"/>
    <col min="14624" max="14846" width="8.48333333333333" style="176" hidden="1"/>
    <col min="14847" max="14847" width="8.48333333333333" style="176"/>
    <col min="14848" max="14848" width="3.625" style="176" customWidth="1"/>
    <col min="14849" max="14849" width="7.58333333333333" style="176" customWidth="1"/>
    <col min="14850" max="14850" width="32.7583333333333" style="176" customWidth="1"/>
    <col min="14851" max="14851" width="6.5" style="176" customWidth="1"/>
    <col min="14852" max="14852" width="8.25833333333333" style="176" customWidth="1"/>
    <col min="14853" max="14854" width="7" style="176" customWidth="1"/>
    <col min="14855" max="14855" width="8.375" style="176" customWidth="1"/>
    <col min="14856" max="14856" width="8.625" style="176" customWidth="1"/>
    <col min="14857" max="14857" width="8.125" style="176" customWidth="1"/>
    <col min="14858" max="14859" width="7" style="176" customWidth="1"/>
    <col min="14860" max="14861" width="7.875" style="176" customWidth="1"/>
    <col min="14862" max="14863" width="7" style="176" customWidth="1"/>
    <col min="14864" max="14864" width="9.25833333333333" style="176" hidden="1" customWidth="1"/>
    <col min="14865" max="14865" width="19.7583333333333" style="176" customWidth="1"/>
    <col min="14866" max="14877" width="9" style="176" customWidth="1"/>
    <col min="14878" max="14879" width="9" style="176"/>
    <col min="14880" max="15102" width="8.48333333333333" style="176" hidden="1"/>
    <col min="15103" max="15103" width="8.48333333333333" style="176"/>
    <col min="15104" max="15104" width="3.625" style="176" customWidth="1"/>
    <col min="15105" max="15105" width="7.58333333333333" style="176" customWidth="1"/>
    <col min="15106" max="15106" width="32.7583333333333" style="176" customWidth="1"/>
    <col min="15107" max="15107" width="6.5" style="176" customWidth="1"/>
    <col min="15108" max="15108" width="8.25833333333333" style="176" customWidth="1"/>
    <col min="15109" max="15110" width="7" style="176" customWidth="1"/>
    <col min="15111" max="15111" width="8.375" style="176" customWidth="1"/>
    <col min="15112" max="15112" width="8.625" style="176" customWidth="1"/>
    <col min="15113" max="15113" width="8.125" style="176" customWidth="1"/>
    <col min="15114" max="15115" width="7" style="176" customWidth="1"/>
    <col min="15116" max="15117" width="7.875" style="176" customWidth="1"/>
    <col min="15118" max="15119" width="7" style="176" customWidth="1"/>
    <col min="15120" max="15120" width="9.25833333333333" style="176" hidden="1" customWidth="1"/>
    <col min="15121" max="15121" width="19.7583333333333" style="176" customWidth="1"/>
    <col min="15122" max="15133" width="9" style="176" customWidth="1"/>
    <col min="15134" max="15135" width="9" style="176"/>
    <col min="15136" max="15358" width="8.48333333333333" style="176" hidden="1"/>
    <col min="15359" max="15359" width="8.48333333333333" style="176"/>
    <col min="15360" max="15360" width="3.625" style="176" customWidth="1"/>
    <col min="15361" max="15361" width="7.58333333333333" style="176" customWidth="1"/>
    <col min="15362" max="15362" width="32.7583333333333" style="176" customWidth="1"/>
    <col min="15363" max="15363" width="6.5" style="176" customWidth="1"/>
    <col min="15364" max="15364" width="8.25833333333333" style="176" customWidth="1"/>
    <col min="15365" max="15366" width="7" style="176" customWidth="1"/>
    <col min="15367" max="15367" width="8.375" style="176" customWidth="1"/>
    <col min="15368" max="15368" width="8.625" style="176" customWidth="1"/>
    <col min="15369" max="15369" width="8.125" style="176" customWidth="1"/>
    <col min="15370" max="15371" width="7" style="176" customWidth="1"/>
    <col min="15372" max="15373" width="7.875" style="176" customWidth="1"/>
    <col min="15374" max="15375" width="7" style="176" customWidth="1"/>
    <col min="15376" max="15376" width="9.25833333333333" style="176" hidden="1" customWidth="1"/>
    <col min="15377" max="15377" width="19.7583333333333" style="176" customWidth="1"/>
    <col min="15378" max="15389" width="9" style="176" customWidth="1"/>
    <col min="15390" max="15391" width="9" style="176"/>
    <col min="15392" max="15614" width="8.48333333333333" style="176" hidden="1"/>
    <col min="15615" max="15615" width="8.48333333333333" style="176"/>
    <col min="15616" max="15616" width="3.625" style="176" customWidth="1"/>
    <col min="15617" max="15617" width="7.58333333333333" style="176" customWidth="1"/>
    <col min="15618" max="15618" width="32.7583333333333" style="176" customWidth="1"/>
    <col min="15619" max="15619" width="6.5" style="176" customWidth="1"/>
    <col min="15620" max="15620" width="8.25833333333333" style="176" customWidth="1"/>
    <col min="15621" max="15622" width="7" style="176" customWidth="1"/>
    <col min="15623" max="15623" width="8.375" style="176" customWidth="1"/>
    <col min="15624" max="15624" width="8.625" style="176" customWidth="1"/>
    <col min="15625" max="15625" width="8.125" style="176" customWidth="1"/>
    <col min="15626" max="15627" width="7" style="176" customWidth="1"/>
    <col min="15628" max="15629" width="7.875" style="176" customWidth="1"/>
    <col min="15630" max="15631" width="7" style="176" customWidth="1"/>
    <col min="15632" max="15632" width="9.25833333333333" style="176" hidden="1" customWidth="1"/>
    <col min="15633" max="15633" width="19.7583333333333" style="176" customWidth="1"/>
    <col min="15634" max="15645" width="9" style="176" customWidth="1"/>
    <col min="15646" max="15647" width="9" style="176"/>
    <col min="15648" max="15870" width="8.48333333333333" style="176" hidden="1"/>
    <col min="15871" max="15871" width="8.48333333333333" style="176"/>
    <col min="15872" max="15872" width="3.625" style="176" customWidth="1"/>
    <col min="15873" max="15873" width="7.58333333333333" style="176" customWidth="1"/>
    <col min="15874" max="15874" width="32.7583333333333" style="176" customWidth="1"/>
    <col min="15875" max="15875" width="6.5" style="176" customWidth="1"/>
    <col min="15876" max="15876" width="8.25833333333333" style="176" customWidth="1"/>
    <col min="15877" max="15878" width="7" style="176" customWidth="1"/>
    <col min="15879" max="15879" width="8.375" style="176" customWidth="1"/>
    <col min="15880" max="15880" width="8.625" style="176" customWidth="1"/>
    <col min="15881" max="15881" width="8.125" style="176" customWidth="1"/>
    <col min="15882" max="15883" width="7" style="176" customWidth="1"/>
    <col min="15884" max="15885" width="7.875" style="176" customWidth="1"/>
    <col min="15886" max="15887" width="7" style="176" customWidth="1"/>
    <col min="15888" max="15888" width="9.25833333333333" style="176" hidden="1" customWidth="1"/>
    <col min="15889" max="15889" width="19.7583333333333" style="176" customWidth="1"/>
    <col min="15890" max="15901" width="9" style="176" customWidth="1"/>
    <col min="15902" max="15903" width="9" style="176"/>
    <col min="15904" max="16126" width="8.48333333333333" style="176" hidden="1"/>
    <col min="16127" max="16127" width="8.48333333333333" style="176"/>
    <col min="16128" max="16128" width="3.625" style="176" customWidth="1"/>
    <col min="16129" max="16129" width="7.58333333333333" style="176" customWidth="1"/>
    <col min="16130" max="16130" width="32.7583333333333" style="176" customWidth="1"/>
    <col min="16131" max="16131" width="6.5" style="176" customWidth="1"/>
    <col min="16132" max="16132" width="8.25833333333333" style="176" customWidth="1"/>
    <col min="16133" max="16134" width="7" style="176" customWidth="1"/>
    <col min="16135" max="16135" width="8.375" style="176" customWidth="1"/>
    <col min="16136" max="16136" width="8.625" style="176" customWidth="1"/>
    <col min="16137" max="16137" width="8.125" style="176" customWidth="1"/>
    <col min="16138" max="16139" width="7" style="176" customWidth="1"/>
    <col min="16140" max="16141" width="7.875" style="176" customWidth="1"/>
    <col min="16142" max="16143" width="7" style="176" customWidth="1"/>
    <col min="16144" max="16144" width="9.25833333333333" style="176" hidden="1" customWidth="1"/>
    <col min="16145" max="16145" width="19.7583333333333" style="176" customWidth="1"/>
    <col min="16146" max="16157" width="9" style="176" customWidth="1"/>
    <col min="16158" max="16159" width="9" style="176"/>
    <col min="16160" max="16382" width="8.48333333333333" style="176" hidden="1"/>
    <col min="16383" max="16383" width="8.48333333333333" style="176"/>
    <col min="16384" max="16384" width="9" style="176"/>
  </cols>
  <sheetData>
    <row r="1" s="226" customFormat="1" ht="28" customHeight="1" spans="1:30">
      <c r="A1" s="239" t="s">
        <v>194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56"/>
      <c r="Q1" s="262"/>
      <c r="R1" s="263"/>
      <c r="S1" s="263"/>
      <c r="T1" s="263"/>
      <c r="U1" s="263"/>
      <c r="V1" s="229"/>
      <c r="W1" s="229"/>
      <c r="X1" s="229"/>
      <c r="Y1" s="197"/>
      <c r="Z1" s="197"/>
      <c r="AA1" s="197"/>
      <c r="AB1" s="161"/>
      <c r="AC1" s="197"/>
      <c r="AD1" s="197"/>
    </row>
    <row r="2" s="236" customFormat="1" ht="21" customHeight="1" spans="1:16">
      <c r="A2" s="240" t="s">
        <v>1</v>
      </c>
      <c r="B2" s="240"/>
      <c r="C2" s="240"/>
      <c r="D2" s="240"/>
      <c r="E2" s="240"/>
      <c r="F2" s="241"/>
      <c r="G2" s="241"/>
      <c r="H2" s="241"/>
      <c r="I2" s="257"/>
      <c r="J2" s="258"/>
      <c r="K2" s="241"/>
      <c r="L2" s="241"/>
      <c r="M2" s="241"/>
      <c r="N2" s="257"/>
      <c r="O2" s="198" t="s">
        <v>3</v>
      </c>
      <c r="P2" s="198"/>
    </row>
    <row r="3" s="3" customFormat="1" ht="15" customHeight="1" spans="1:17">
      <c r="A3" s="242" t="s">
        <v>4</v>
      </c>
      <c r="B3" s="242" t="s">
        <v>116</v>
      </c>
      <c r="C3" s="242" t="s">
        <v>195</v>
      </c>
      <c r="D3" s="242" t="s">
        <v>118</v>
      </c>
      <c r="E3" s="183" t="s">
        <v>7</v>
      </c>
      <c r="F3" s="183"/>
      <c r="G3" s="183"/>
      <c r="H3" s="183"/>
      <c r="I3" s="183"/>
      <c r="J3" s="183" t="s">
        <v>8</v>
      </c>
      <c r="K3" s="183"/>
      <c r="L3" s="183"/>
      <c r="M3" s="183"/>
      <c r="N3" s="183"/>
      <c r="O3" s="259" t="s">
        <v>9</v>
      </c>
      <c r="P3" s="259" t="s">
        <v>10</v>
      </c>
      <c r="Q3" s="74" t="s">
        <v>196</v>
      </c>
    </row>
    <row r="4" s="237" customFormat="1" ht="20" customHeight="1" spans="1:17">
      <c r="A4" s="243"/>
      <c r="B4" s="243"/>
      <c r="C4" s="243"/>
      <c r="D4" s="243"/>
      <c r="E4" s="244" t="s">
        <v>119</v>
      </c>
      <c r="F4" s="244" t="s">
        <v>197</v>
      </c>
      <c r="G4" s="244"/>
      <c r="H4" s="244" t="s">
        <v>198</v>
      </c>
      <c r="I4" s="244"/>
      <c r="J4" s="244" t="s">
        <v>119</v>
      </c>
      <c r="K4" s="244" t="s">
        <v>197</v>
      </c>
      <c r="L4" s="244"/>
      <c r="M4" s="244" t="s">
        <v>198</v>
      </c>
      <c r="N4" s="244"/>
      <c r="O4" s="259"/>
      <c r="P4" s="259"/>
      <c r="Q4" s="264"/>
    </row>
    <row r="5" s="237" customFormat="1" ht="18" customHeight="1" spans="1:17">
      <c r="A5" s="243"/>
      <c r="B5" s="243"/>
      <c r="C5" s="243"/>
      <c r="D5" s="243"/>
      <c r="E5" s="245"/>
      <c r="F5" s="245" t="s">
        <v>122</v>
      </c>
      <c r="G5" s="245" t="s">
        <v>123</v>
      </c>
      <c r="H5" s="245" t="s">
        <v>122</v>
      </c>
      <c r="I5" s="245" t="s">
        <v>123</v>
      </c>
      <c r="J5" s="245"/>
      <c r="K5" s="245" t="s">
        <v>122</v>
      </c>
      <c r="L5" s="245" t="s">
        <v>123</v>
      </c>
      <c r="M5" s="245" t="s">
        <v>122</v>
      </c>
      <c r="N5" s="245" t="s">
        <v>123</v>
      </c>
      <c r="O5" s="260"/>
      <c r="P5" s="260"/>
      <c r="Q5" s="265"/>
    </row>
    <row r="6" s="238" customFormat="1" ht="25" customHeight="1" spans="1:17">
      <c r="A6" s="246">
        <v>1</v>
      </c>
      <c r="B6" s="247" t="s">
        <v>129</v>
      </c>
      <c r="C6" s="248" t="s">
        <v>130</v>
      </c>
      <c r="D6" s="246" t="s">
        <v>131</v>
      </c>
      <c r="E6" s="246">
        <v>0</v>
      </c>
      <c r="F6" s="249">
        <v>0.69</v>
      </c>
      <c r="G6" s="249"/>
      <c r="H6" s="249">
        <f t="shared" ref="H6:H28" si="0">E6*F6</f>
        <v>0</v>
      </c>
      <c r="I6" s="246"/>
      <c r="J6" s="246">
        <v>0</v>
      </c>
      <c r="K6" s="249">
        <v>0.69</v>
      </c>
      <c r="L6" s="249"/>
      <c r="M6" s="249">
        <f>J6*K6</f>
        <v>0</v>
      </c>
      <c r="N6" s="246"/>
      <c r="O6" s="246"/>
      <c r="P6" s="246">
        <f>H6-M6</f>
        <v>0</v>
      </c>
      <c r="Q6" s="247"/>
    </row>
    <row r="7" s="238" customFormat="1" ht="25" customHeight="1" spans="1:17">
      <c r="A7" s="246">
        <v>2</v>
      </c>
      <c r="B7" s="247" t="s">
        <v>132</v>
      </c>
      <c r="C7" s="248" t="s">
        <v>133</v>
      </c>
      <c r="D7" s="246" t="s">
        <v>134</v>
      </c>
      <c r="E7" s="246">
        <v>215</v>
      </c>
      <c r="F7" s="249">
        <v>0.17</v>
      </c>
      <c r="G7" s="249"/>
      <c r="H7" s="249">
        <f t="shared" si="0"/>
        <v>36.55</v>
      </c>
      <c r="I7" s="246"/>
      <c r="J7" s="246">
        <v>215</v>
      </c>
      <c r="K7" s="249">
        <v>0.17</v>
      </c>
      <c r="L7" s="249"/>
      <c r="M7" s="249">
        <f t="shared" ref="M7:M28" si="1">J7*K7</f>
        <v>36.55</v>
      </c>
      <c r="N7" s="246"/>
      <c r="O7" s="246"/>
      <c r="P7" s="246">
        <f t="shared" ref="P7:P29" si="2">H7-M7</f>
        <v>0</v>
      </c>
      <c r="Q7" s="247">
        <f>Q9</f>
        <v>0</v>
      </c>
    </row>
    <row r="8" s="238" customFormat="1" ht="25" customHeight="1" spans="1:17">
      <c r="A8" s="246">
        <v>3</v>
      </c>
      <c r="B8" s="247" t="s">
        <v>135</v>
      </c>
      <c r="C8" s="248" t="s">
        <v>136</v>
      </c>
      <c r="D8" s="246" t="s">
        <v>131</v>
      </c>
      <c r="E8" s="246">
        <v>24</v>
      </c>
      <c r="F8" s="249">
        <v>0.63</v>
      </c>
      <c r="G8" s="249"/>
      <c r="H8" s="249">
        <f t="shared" si="0"/>
        <v>15.12</v>
      </c>
      <c r="I8" s="246"/>
      <c r="J8" s="246">
        <v>23</v>
      </c>
      <c r="K8" s="249">
        <v>0.63</v>
      </c>
      <c r="L8" s="249"/>
      <c r="M8" s="249">
        <f t="shared" si="1"/>
        <v>14.49</v>
      </c>
      <c r="N8" s="246"/>
      <c r="O8" s="246"/>
      <c r="P8" s="246">
        <f t="shared" si="2"/>
        <v>0.629999999999999</v>
      </c>
      <c r="Q8" s="247"/>
    </row>
    <row r="9" s="238" customFormat="1" ht="25" customHeight="1" spans="1:17">
      <c r="A9" s="246">
        <v>4</v>
      </c>
      <c r="B9" s="247" t="s">
        <v>137</v>
      </c>
      <c r="C9" s="248" t="s">
        <v>138</v>
      </c>
      <c r="D9" s="246" t="s">
        <v>139</v>
      </c>
      <c r="E9" s="246">
        <f>'表四甲 主设备'!E13</f>
        <v>104</v>
      </c>
      <c r="F9" s="249">
        <v>0.29</v>
      </c>
      <c r="G9" s="249"/>
      <c r="H9" s="249">
        <f t="shared" si="0"/>
        <v>30.16</v>
      </c>
      <c r="I9" s="246"/>
      <c r="J9" s="246">
        <v>104</v>
      </c>
      <c r="K9" s="249">
        <v>0.29</v>
      </c>
      <c r="L9" s="249"/>
      <c r="M9" s="249">
        <f t="shared" si="1"/>
        <v>30.16</v>
      </c>
      <c r="N9" s="246"/>
      <c r="O9" s="246"/>
      <c r="P9" s="246">
        <f t="shared" si="2"/>
        <v>0</v>
      </c>
      <c r="Q9" s="247"/>
    </row>
    <row r="10" s="238" customFormat="1" ht="25" customHeight="1" spans="1:17">
      <c r="A10" s="246">
        <v>5</v>
      </c>
      <c r="B10" s="247" t="s">
        <v>140</v>
      </c>
      <c r="C10" s="248" t="s">
        <v>141</v>
      </c>
      <c r="D10" s="246" t="s">
        <v>142</v>
      </c>
      <c r="E10" s="246">
        <f>'表四甲 材料表'!E17</f>
        <v>10500</v>
      </c>
      <c r="F10" s="249">
        <v>0.04</v>
      </c>
      <c r="G10" s="249"/>
      <c r="H10" s="249">
        <f t="shared" si="0"/>
        <v>420</v>
      </c>
      <c r="I10" s="246"/>
      <c r="J10" s="246">
        <v>10500</v>
      </c>
      <c r="K10" s="249">
        <v>0.04</v>
      </c>
      <c r="L10" s="249"/>
      <c r="M10" s="249">
        <f t="shared" si="1"/>
        <v>420</v>
      </c>
      <c r="N10" s="246"/>
      <c r="O10" s="246"/>
      <c r="P10" s="246">
        <f t="shared" si="2"/>
        <v>0</v>
      </c>
      <c r="Q10" s="247"/>
    </row>
    <row r="11" s="238" customFormat="1" ht="25" customHeight="1" spans="1:17">
      <c r="A11" s="246">
        <v>6</v>
      </c>
      <c r="B11" s="247" t="s">
        <v>143</v>
      </c>
      <c r="C11" s="248" t="s">
        <v>144</v>
      </c>
      <c r="D11" s="246" t="s">
        <v>145</v>
      </c>
      <c r="E11" s="246">
        <f>'表四甲 材料表'!E18</f>
        <v>1344</v>
      </c>
      <c r="F11" s="249">
        <v>0.15</v>
      </c>
      <c r="G11" s="249"/>
      <c r="H11" s="249">
        <f t="shared" si="0"/>
        <v>201.6</v>
      </c>
      <c r="I11" s="246"/>
      <c r="J11" s="246">
        <v>1344</v>
      </c>
      <c r="K11" s="249">
        <v>0.15</v>
      </c>
      <c r="L11" s="249"/>
      <c r="M11" s="249">
        <f t="shared" si="1"/>
        <v>201.6</v>
      </c>
      <c r="N11" s="246"/>
      <c r="O11" s="246"/>
      <c r="P11" s="246">
        <f t="shared" si="2"/>
        <v>0</v>
      </c>
      <c r="Q11" s="247"/>
    </row>
    <row r="12" s="238" customFormat="1" ht="25" customHeight="1" spans="1:17">
      <c r="A12" s="246">
        <v>7</v>
      </c>
      <c r="B12" s="247" t="s">
        <v>146</v>
      </c>
      <c r="C12" s="248" t="s">
        <v>147</v>
      </c>
      <c r="D12" s="246" t="s">
        <v>148</v>
      </c>
      <c r="E12" s="246">
        <v>120</v>
      </c>
      <c r="F12" s="249">
        <v>0.15</v>
      </c>
      <c r="G12" s="249"/>
      <c r="H12" s="249">
        <f t="shared" si="0"/>
        <v>18</v>
      </c>
      <c r="I12" s="246"/>
      <c r="J12" s="246">
        <v>120</v>
      </c>
      <c r="K12" s="249">
        <v>0.15</v>
      </c>
      <c r="L12" s="249"/>
      <c r="M12" s="249">
        <f t="shared" si="1"/>
        <v>18</v>
      </c>
      <c r="N12" s="246"/>
      <c r="O12" s="246"/>
      <c r="P12" s="246">
        <f t="shared" si="2"/>
        <v>0</v>
      </c>
      <c r="Q12" s="247"/>
    </row>
    <row r="13" s="238" customFormat="1" ht="25" customHeight="1" spans="1:17">
      <c r="A13" s="246">
        <v>8</v>
      </c>
      <c r="B13" s="247" t="s">
        <v>146</v>
      </c>
      <c r="C13" s="248" t="s">
        <v>149</v>
      </c>
      <c r="D13" s="246" t="s">
        <v>148</v>
      </c>
      <c r="E13" s="246">
        <v>56</v>
      </c>
      <c r="F13" s="249">
        <v>0.165</v>
      </c>
      <c r="G13" s="249"/>
      <c r="H13" s="249">
        <f t="shared" si="0"/>
        <v>9.24</v>
      </c>
      <c r="I13" s="246"/>
      <c r="J13" s="246">
        <v>56</v>
      </c>
      <c r="K13" s="249">
        <v>0.165</v>
      </c>
      <c r="L13" s="249"/>
      <c r="M13" s="249">
        <f t="shared" si="1"/>
        <v>9.24</v>
      </c>
      <c r="N13" s="246"/>
      <c r="O13" s="246"/>
      <c r="P13" s="246">
        <f t="shared" si="2"/>
        <v>0</v>
      </c>
      <c r="Q13" s="247"/>
    </row>
    <row r="14" s="238" customFormat="1" ht="25" customHeight="1" spans="1:17">
      <c r="A14" s="246">
        <v>9</v>
      </c>
      <c r="B14" s="247" t="s">
        <v>150</v>
      </c>
      <c r="C14" s="248" t="s">
        <v>151</v>
      </c>
      <c r="D14" s="246" t="s">
        <v>152</v>
      </c>
      <c r="E14" s="246">
        <v>54</v>
      </c>
      <c r="F14" s="249">
        <v>0.11</v>
      </c>
      <c r="G14" s="249"/>
      <c r="H14" s="249">
        <f t="shared" si="0"/>
        <v>5.94</v>
      </c>
      <c r="I14" s="246"/>
      <c r="J14" s="246">
        <v>0</v>
      </c>
      <c r="K14" s="249">
        <v>0.11</v>
      </c>
      <c r="L14" s="249"/>
      <c r="M14" s="249">
        <f t="shared" si="1"/>
        <v>0</v>
      </c>
      <c r="N14" s="246"/>
      <c r="O14" s="246"/>
      <c r="P14" s="246">
        <f t="shared" si="2"/>
        <v>5.94</v>
      </c>
      <c r="Q14" s="247"/>
    </row>
    <row r="15" s="238" customFormat="1" ht="25" customHeight="1" spans="1:17">
      <c r="A15" s="246">
        <v>10</v>
      </c>
      <c r="B15" s="247" t="s">
        <v>153</v>
      </c>
      <c r="C15" s="248" t="s">
        <v>154</v>
      </c>
      <c r="D15" s="246" t="s">
        <v>152</v>
      </c>
      <c r="E15" s="246">
        <v>54</v>
      </c>
      <c r="F15" s="249">
        <v>0.21</v>
      </c>
      <c r="G15" s="249"/>
      <c r="H15" s="249">
        <f t="shared" si="0"/>
        <v>11.34</v>
      </c>
      <c r="I15" s="246"/>
      <c r="J15" s="246">
        <v>0</v>
      </c>
      <c r="K15" s="249">
        <v>0.21</v>
      </c>
      <c r="L15" s="249"/>
      <c r="M15" s="249">
        <f t="shared" si="1"/>
        <v>0</v>
      </c>
      <c r="N15" s="246"/>
      <c r="O15" s="246"/>
      <c r="P15" s="246">
        <f t="shared" si="2"/>
        <v>11.34</v>
      </c>
      <c r="Q15" s="247"/>
    </row>
    <row r="16" s="238" customFormat="1" ht="25" customHeight="1" spans="1:17">
      <c r="A16" s="246">
        <v>11</v>
      </c>
      <c r="B16" s="247" t="s">
        <v>155</v>
      </c>
      <c r="C16" s="248" t="s">
        <v>156</v>
      </c>
      <c r="D16" s="246" t="s">
        <v>157</v>
      </c>
      <c r="E16" s="246">
        <v>522</v>
      </c>
      <c r="F16" s="249">
        <v>0.83</v>
      </c>
      <c r="G16" s="249"/>
      <c r="H16" s="249">
        <f t="shared" si="0"/>
        <v>433.26</v>
      </c>
      <c r="I16" s="246"/>
      <c r="J16" s="246">
        <v>522</v>
      </c>
      <c r="K16" s="249">
        <v>0.83</v>
      </c>
      <c r="L16" s="249"/>
      <c r="M16" s="249">
        <f t="shared" si="1"/>
        <v>433.26</v>
      </c>
      <c r="N16" s="246"/>
      <c r="O16" s="246"/>
      <c r="P16" s="246">
        <f t="shared" si="2"/>
        <v>0</v>
      </c>
      <c r="Q16" s="247"/>
    </row>
    <row r="17" s="176" customFormat="1" ht="25" customHeight="1" spans="1:17">
      <c r="A17" s="53">
        <v>12</v>
      </c>
      <c r="B17" s="185" t="s">
        <v>158</v>
      </c>
      <c r="C17" s="186" t="s">
        <v>159</v>
      </c>
      <c r="D17" s="53" t="s">
        <v>157</v>
      </c>
      <c r="E17" s="53">
        <v>0</v>
      </c>
      <c r="F17" s="250">
        <v>2.13</v>
      </c>
      <c r="G17" s="250"/>
      <c r="H17" s="250">
        <f t="shared" si="0"/>
        <v>0</v>
      </c>
      <c r="I17" s="53"/>
      <c r="J17" s="53">
        <v>0</v>
      </c>
      <c r="K17" s="250">
        <v>2.13</v>
      </c>
      <c r="L17" s="250"/>
      <c r="M17" s="250">
        <f t="shared" si="1"/>
        <v>0</v>
      </c>
      <c r="N17" s="53"/>
      <c r="O17" s="53"/>
      <c r="P17" s="53">
        <f t="shared" si="2"/>
        <v>0</v>
      </c>
      <c r="Q17" s="185"/>
    </row>
    <row r="18" s="176" customFormat="1" ht="31" customHeight="1" spans="1:17">
      <c r="A18" s="53">
        <v>13</v>
      </c>
      <c r="B18" s="185" t="s">
        <v>160</v>
      </c>
      <c r="C18" s="186" t="s">
        <v>161</v>
      </c>
      <c r="D18" s="53" t="s">
        <v>139</v>
      </c>
      <c r="E18" s="53">
        <v>864</v>
      </c>
      <c r="F18" s="250">
        <v>0.26</v>
      </c>
      <c r="G18" s="250"/>
      <c r="H18" s="250">
        <f t="shared" si="0"/>
        <v>224.64</v>
      </c>
      <c r="I18" s="53"/>
      <c r="J18" s="53">
        <v>864</v>
      </c>
      <c r="K18" s="250">
        <v>0.26</v>
      </c>
      <c r="L18" s="250"/>
      <c r="M18" s="250">
        <f t="shared" si="1"/>
        <v>224.64</v>
      </c>
      <c r="N18" s="53"/>
      <c r="O18" s="53"/>
      <c r="P18" s="53">
        <f t="shared" si="2"/>
        <v>0</v>
      </c>
      <c r="Q18" s="185"/>
    </row>
    <row r="19" s="176" customFormat="1" ht="31" customHeight="1" spans="1:17">
      <c r="A19" s="53">
        <v>14</v>
      </c>
      <c r="B19" s="185" t="s">
        <v>162</v>
      </c>
      <c r="C19" s="186" t="s">
        <v>163</v>
      </c>
      <c r="D19" s="53" t="s">
        <v>142</v>
      </c>
      <c r="E19" s="53">
        <v>6686</v>
      </c>
      <c r="F19" s="250">
        <v>0.039</v>
      </c>
      <c r="G19" s="250"/>
      <c r="H19" s="250">
        <f t="shared" si="0"/>
        <v>260.754</v>
      </c>
      <c r="I19" s="53"/>
      <c r="J19" s="53">
        <v>6686</v>
      </c>
      <c r="K19" s="250">
        <v>0.039</v>
      </c>
      <c r="L19" s="250"/>
      <c r="M19" s="250">
        <f t="shared" si="1"/>
        <v>260.754</v>
      </c>
      <c r="N19" s="53"/>
      <c r="O19" s="53"/>
      <c r="P19" s="53">
        <f t="shared" si="2"/>
        <v>0</v>
      </c>
      <c r="Q19" s="185"/>
    </row>
    <row r="20" s="176" customFormat="1" ht="31" customHeight="1" spans="1:17">
      <c r="A20" s="53">
        <v>15</v>
      </c>
      <c r="B20" s="185" t="s">
        <v>164</v>
      </c>
      <c r="C20" s="186" t="s">
        <v>165</v>
      </c>
      <c r="D20" s="53" t="s">
        <v>139</v>
      </c>
      <c r="E20" s="53">
        <v>134</v>
      </c>
      <c r="F20" s="250">
        <v>1.274</v>
      </c>
      <c r="G20" s="250"/>
      <c r="H20" s="250">
        <f t="shared" si="0"/>
        <v>170.716</v>
      </c>
      <c r="I20" s="53"/>
      <c r="J20" s="53">
        <v>134</v>
      </c>
      <c r="K20" s="250">
        <v>1.274</v>
      </c>
      <c r="L20" s="250"/>
      <c r="M20" s="250">
        <f t="shared" si="1"/>
        <v>170.716</v>
      </c>
      <c r="N20" s="53"/>
      <c r="O20" s="53"/>
      <c r="P20" s="53">
        <f t="shared" si="2"/>
        <v>0</v>
      </c>
      <c r="Q20" s="185"/>
    </row>
    <row r="21" s="176" customFormat="1" ht="31" customHeight="1" spans="1:17">
      <c r="A21" s="53">
        <v>16</v>
      </c>
      <c r="B21" s="185" t="s">
        <v>166</v>
      </c>
      <c r="C21" s="186" t="s">
        <v>167</v>
      </c>
      <c r="D21" s="53" t="s">
        <v>142</v>
      </c>
      <c r="E21" s="53">
        <v>6892</v>
      </c>
      <c r="F21" s="250">
        <v>0.078</v>
      </c>
      <c r="G21" s="250"/>
      <c r="H21" s="250">
        <f t="shared" si="0"/>
        <v>537.576</v>
      </c>
      <c r="I21" s="53"/>
      <c r="J21" s="53">
        <v>6892</v>
      </c>
      <c r="K21" s="250">
        <v>0.078</v>
      </c>
      <c r="L21" s="250"/>
      <c r="M21" s="250">
        <f t="shared" si="1"/>
        <v>537.576</v>
      </c>
      <c r="N21" s="53"/>
      <c r="O21" s="53"/>
      <c r="P21" s="53">
        <f t="shared" si="2"/>
        <v>0</v>
      </c>
      <c r="Q21" s="185"/>
    </row>
    <row r="22" s="176" customFormat="1" ht="31" customHeight="1" spans="1:17">
      <c r="A22" s="53">
        <v>17</v>
      </c>
      <c r="B22" s="185" t="s">
        <v>168</v>
      </c>
      <c r="C22" s="186" t="s">
        <v>169</v>
      </c>
      <c r="D22" s="53" t="s">
        <v>131</v>
      </c>
      <c r="E22" s="53">
        <v>476</v>
      </c>
      <c r="F22" s="250">
        <v>0.34</v>
      </c>
      <c r="G22" s="250"/>
      <c r="H22" s="250">
        <f t="shared" si="0"/>
        <v>161.84</v>
      </c>
      <c r="I22" s="53"/>
      <c r="J22" s="53">
        <v>476</v>
      </c>
      <c r="K22" s="250">
        <v>0.34</v>
      </c>
      <c r="L22" s="250"/>
      <c r="M22" s="250">
        <f t="shared" si="1"/>
        <v>161.84</v>
      </c>
      <c r="N22" s="53"/>
      <c r="O22" s="53"/>
      <c r="P22" s="53">
        <f t="shared" si="2"/>
        <v>0</v>
      </c>
      <c r="Q22" s="185"/>
    </row>
    <row r="23" s="176" customFormat="1" ht="31" customHeight="1" spans="1:17">
      <c r="A23" s="53">
        <v>18</v>
      </c>
      <c r="B23" s="185" t="s">
        <v>168</v>
      </c>
      <c r="C23" s="186" t="s">
        <v>170</v>
      </c>
      <c r="D23" s="53" t="s">
        <v>131</v>
      </c>
      <c r="E23" s="53">
        <v>0</v>
      </c>
      <c r="F23" s="250">
        <v>0.68</v>
      </c>
      <c r="G23" s="250"/>
      <c r="H23" s="250">
        <f t="shared" si="0"/>
        <v>0</v>
      </c>
      <c r="I23" s="53"/>
      <c r="J23" s="53">
        <v>0</v>
      </c>
      <c r="K23" s="250">
        <v>0.68</v>
      </c>
      <c r="L23" s="250"/>
      <c r="M23" s="250">
        <f t="shared" si="1"/>
        <v>0</v>
      </c>
      <c r="N23" s="53"/>
      <c r="O23" s="53"/>
      <c r="P23" s="53">
        <f t="shared" si="2"/>
        <v>0</v>
      </c>
      <c r="Q23" s="185"/>
    </row>
    <row r="24" s="176" customFormat="1" ht="25" customHeight="1" spans="1:17">
      <c r="A24" s="53">
        <v>19</v>
      </c>
      <c r="B24" s="185" t="s">
        <v>171</v>
      </c>
      <c r="C24" s="186" t="s">
        <v>172</v>
      </c>
      <c r="D24" s="53" t="s">
        <v>139</v>
      </c>
      <c r="E24" s="53">
        <v>998</v>
      </c>
      <c r="F24" s="250">
        <v>0.56</v>
      </c>
      <c r="G24" s="250"/>
      <c r="H24" s="250">
        <f t="shared" si="0"/>
        <v>558.88</v>
      </c>
      <c r="I24" s="53"/>
      <c r="J24" s="53">
        <v>998</v>
      </c>
      <c r="K24" s="250">
        <v>0.56</v>
      </c>
      <c r="L24" s="250"/>
      <c r="M24" s="250">
        <f t="shared" si="1"/>
        <v>558.88</v>
      </c>
      <c r="N24" s="53"/>
      <c r="O24" s="53"/>
      <c r="P24" s="53">
        <f t="shared" si="2"/>
        <v>0</v>
      </c>
      <c r="Q24" s="185"/>
    </row>
    <row r="25" s="176" customFormat="1" ht="25" customHeight="1" spans="1:17">
      <c r="A25" s="53">
        <v>20</v>
      </c>
      <c r="B25" s="185" t="s">
        <v>173</v>
      </c>
      <c r="C25" s="186" t="s">
        <v>174</v>
      </c>
      <c r="D25" s="53" t="s">
        <v>175</v>
      </c>
      <c r="E25" s="53">
        <f>'表四甲 主设备'!E8+'表四甲 主设备'!E10</f>
        <v>26</v>
      </c>
      <c r="F25" s="250">
        <v>1.94</v>
      </c>
      <c r="G25" s="250"/>
      <c r="H25" s="250">
        <f t="shared" si="0"/>
        <v>50.44</v>
      </c>
      <c r="I25" s="53"/>
      <c r="J25" s="53">
        <v>26</v>
      </c>
      <c r="K25" s="250">
        <v>1.94</v>
      </c>
      <c r="L25" s="250"/>
      <c r="M25" s="250">
        <f t="shared" si="1"/>
        <v>50.44</v>
      </c>
      <c r="N25" s="53"/>
      <c r="O25" s="53"/>
      <c r="P25" s="53">
        <f t="shared" si="2"/>
        <v>0</v>
      </c>
      <c r="Q25" s="185"/>
    </row>
    <row r="26" s="176" customFormat="1" ht="25" customHeight="1" spans="1:17">
      <c r="A26" s="53">
        <v>21</v>
      </c>
      <c r="B26" s="185" t="s">
        <v>176</v>
      </c>
      <c r="C26" s="186" t="s">
        <v>177</v>
      </c>
      <c r="D26" s="53" t="s">
        <v>178</v>
      </c>
      <c r="E26" s="53">
        <v>0</v>
      </c>
      <c r="F26" s="250">
        <v>6.42</v>
      </c>
      <c r="G26" s="250"/>
      <c r="H26" s="250">
        <f t="shared" si="0"/>
        <v>0</v>
      </c>
      <c r="I26" s="53"/>
      <c r="J26" s="53">
        <v>0</v>
      </c>
      <c r="K26" s="250">
        <v>6.42</v>
      </c>
      <c r="L26" s="250"/>
      <c r="M26" s="250">
        <f t="shared" si="1"/>
        <v>0</v>
      </c>
      <c r="N26" s="53"/>
      <c r="O26" s="53"/>
      <c r="P26" s="53">
        <f t="shared" si="2"/>
        <v>0</v>
      </c>
      <c r="Q26" s="185"/>
    </row>
    <row r="27" s="176" customFormat="1" ht="25" customHeight="1" spans="1:17">
      <c r="A27" s="53">
        <v>22</v>
      </c>
      <c r="B27" s="185" t="s">
        <v>179</v>
      </c>
      <c r="C27" s="186" t="s">
        <v>180</v>
      </c>
      <c r="D27" s="53" t="s">
        <v>181</v>
      </c>
      <c r="E27" s="53">
        <f>E25</f>
        <v>26</v>
      </c>
      <c r="F27" s="250">
        <v>1.692</v>
      </c>
      <c r="G27" s="250"/>
      <c r="H27" s="250">
        <f t="shared" si="0"/>
        <v>43.992</v>
      </c>
      <c r="I27" s="53"/>
      <c r="J27" s="53">
        <v>26</v>
      </c>
      <c r="K27" s="250">
        <v>1.692</v>
      </c>
      <c r="L27" s="250"/>
      <c r="M27" s="250">
        <f t="shared" si="1"/>
        <v>43.992</v>
      </c>
      <c r="N27" s="53"/>
      <c r="O27" s="53"/>
      <c r="P27" s="53">
        <f t="shared" si="2"/>
        <v>0</v>
      </c>
      <c r="Q27" s="185"/>
    </row>
    <row r="28" s="176" customFormat="1" ht="25" customHeight="1" spans="1:17">
      <c r="A28" s="53">
        <v>23</v>
      </c>
      <c r="B28" s="185" t="s">
        <v>182</v>
      </c>
      <c r="C28" s="186" t="s">
        <v>183</v>
      </c>
      <c r="D28" s="53" t="s">
        <v>175</v>
      </c>
      <c r="E28" s="53">
        <f>'表四甲 材料表'!E19</f>
        <v>52</v>
      </c>
      <c r="F28" s="250">
        <v>0.05</v>
      </c>
      <c r="G28" s="250"/>
      <c r="H28" s="250">
        <f t="shared" si="0"/>
        <v>2.6</v>
      </c>
      <c r="I28" s="53"/>
      <c r="J28" s="53">
        <v>52</v>
      </c>
      <c r="K28" s="250">
        <v>0.05</v>
      </c>
      <c r="L28" s="250"/>
      <c r="M28" s="250">
        <f t="shared" si="1"/>
        <v>2.6</v>
      </c>
      <c r="N28" s="53"/>
      <c r="O28" s="53"/>
      <c r="P28" s="53">
        <f t="shared" si="2"/>
        <v>0</v>
      </c>
      <c r="Q28" s="185"/>
    </row>
    <row r="29" s="176" customFormat="1" ht="25" customHeight="1" spans="1:17">
      <c r="A29" s="251">
        <v>24</v>
      </c>
      <c r="B29" s="252"/>
      <c r="C29" s="253" t="s">
        <v>184</v>
      </c>
      <c r="D29" s="251"/>
      <c r="E29" s="251"/>
      <c r="F29" s="254"/>
      <c r="G29" s="254"/>
      <c r="H29" s="255">
        <f>SUM(H6:H28)</f>
        <v>3192.648</v>
      </c>
      <c r="I29" s="255"/>
      <c r="J29" s="261"/>
      <c r="K29" s="255"/>
      <c r="L29" s="255"/>
      <c r="M29" s="255">
        <f>SUM(M6:M28)</f>
        <v>3174.738</v>
      </c>
      <c r="N29" s="255"/>
      <c r="O29" s="255"/>
      <c r="P29" s="54">
        <f>H29-M29-1</f>
        <v>16.9100000000003</v>
      </c>
      <c r="Q29" s="266"/>
    </row>
    <row r="30" s="204" customFormat="1" ht="15.75" customHeight="1" spans="1:14">
      <c r="A30" s="189" t="s">
        <v>32</v>
      </c>
      <c r="B30" s="235"/>
      <c r="D30" s="206"/>
      <c r="E30" s="177"/>
      <c r="F30" s="209"/>
      <c r="G30" s="209"/>
      <c r="H30" s="209"/>
      <c r="I30" s="225" t="s">
        <v>113</v>
      </c>
      <c r="J30" s="177"/>
      <c r="K30" s="209"/>
      <c r="L30" s="209"/>
      <c r="M30" s="209"/>
      <c r="N30" s="225" t="s">
        <v>113</v>
      </c>
    </row>
  </sheetData>
  <mergeCells count="17">
    <mergeCell ref="A1:P1"/>
    <mergeCell ref="O2:P2"/>
    <mergeCell ref="E3:I3"/>
    <mergeCell ref="J3:N3"/>
    <mergeCell ref="F4:G4"/>
    <mergeCell ref="H4:I4"/>
    <mergeCell ref="K4:L4"/>
    <mergeCell ref="M4:N4"/>
    <mergeCell ref="A3:A5"/>
    <mergeCell ref="B3:B5"/>
    <mergeCell ref="C3:C5"/>
    <mergeCell ref="D3:D5"/>
    <mergeCell ref="E4:E5"/>
    <mergeCell ref="J4:J5"/>
    <mergeCell ref="O3:O5"/>
    <mergeCell ref="P3:P5"/>
    <mergeCell ref="Q3:Q5"/>
  </mergeCells>
  <printOptions horizontalCentered="1"/>
  <pageMargins left="0.393055555555556" right="0.393055555555556" top="0.590277777777778" bottom="0.393055555555556" header="0.5" footer="0.184722222222222"/>
  <pageSetup paperSize="9" scale="99" fitToHeight="0" orientation="landscape" horizontalDpi="600"/>
  <headerFooter>
    <oddFooter>&amp;C&amp;9第 &amp;P 页，共 &amp;N 页</oddFooter>
  </headerFooter>
  <ignoredErrors>
    <ignoredError sqref="H29 M29 E6:P28 P2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showZeros="0" view="pageBreakPreview" zoomScaleNormal="100" topLeftCell="B1" workbookViewId="0">
      <selection activeCell="F6" sqref="F6"/>
    </sheetView>
  </sheetViews>
  <sheetFormatPr defaultColWidth="9.90833333333333" defaultRowHeight="12.75"/>
  <cols>
    <col min="1" max="1" width="4.64166666666667" style="177" hidden="1" customWidth="1"/>
    <col min="2" max="2" width="6.26666666666667" style="176" customWidth="1"/>
    <col min="3" max="3" width="11.4416666666667" style="176" customWidth="1"/>
    <col min="4" max="4" width="34.9083333333333" style="176" customWidth="1"/>
    <col min="5" max="5" width="9.90833333333333" style="177"/>
    <col min="6" max="6" width="9.90833333333333" style="176"/>
    <col min="7" max="7" width="17.3583333333333" style="176" customWidth="1"/>
    <col min="8" max="10" width="10.9083333333333" style="178" customWidth="1"/>
    <col min="11" max="11" width="10.9083333333333" style="176" customWidth="1"/>
    <col min="12" max="12" width="9.90833333333333" style="176"/>
    <col min="13" max="13" width="17.3583333333333" style="176" customWidth="1"/>
    <col min="14" max="16" width="10.9083333333333" style="178" customWidth="1"/>
    <col min="17" max="17" width="10.9083333333333" style="176" customWidth="1"/>
    <col min="18" max="16384" width="9.90833333333333" style="176"/>
  </cols>
  <sheetData>
    <row r="1" ht="33" customHeight="1" spans="2:17">
      <c r="B1" s="207" t="s">
        <v>199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ht="24" customHeight="1" spans="2:17">
      <c r="B2" s="208" t="str">
        <f>表一!A2</f>
        <v>工程名称：杭州钱塘区下沙街道开发区电力隧道（一期二标）信号覆盖建设工程</v>
      </c>
      <c r="C2" s="204"/>
      <c r="D2" s="204"/>
      <c r="E2" s="206"/>
      <c r="F2" s="204"/>
      <c r="G2" s="204"/>
      <c r="H2" s="209"/>
      <c r="I2" s="209"/>
      <c r="J2" s="209"/>
      <c r="K2" s="223" t="s">
        <v>200</v>
      </c>
      <c r="L2" s="204"/>
      <c r="M2" s="204"/>
      <c r="N2" s="209"/>
      <c r="O2" s="209"/>
      <c r="P2" s="209"/>
      <c r="Q2" s="223" t="s">
        <v>200</v>
      </c>
    </row>
    <row r="3" ht="18" customHeight="1" spans="2:17">
      <c r="B3" s="105" t="s">
        <v>4</v>
      </c>
      <c r="C3" s="105" t="s">
        <v>116</v>
      </c>
      <c r="D3" s="219" t="s">
        <v>201</v>
      </c>
      <c r="E3" s="105" t="s">
        <v>118</v>
      </c>
      <c r="F3" s="105" t="s">
        <v>119</v>
      </c>
      <c r="G3" s="210" t="s">
        <v>202</v>
      </c>
      <c r="H3" s="211" t="s">
        <v>203</v>
      </c>
      <c r="I3" s="211"/>
      <c r="J3" s="105" t="s">
        <v>204</v>
      </c>
      <c r="K3" s="105"/>
      <c r="L3" s="105" t="s">
        <v>119</v>
      </c>
      <c r="M3" s="210" t="s">
        <v>202</v>
      </c>
      <c r="N3" s="211" t="s">
        <v>203</v>
      </c>
      <c r="O3" s="211"/>
      <c r="P3" s="105" t="s">
        <v>204</v>
      </c>
      <c r="Q3" s="105"/>
    </row>
    <row r="4" ht="31.5" customHeight="1" spans="2:17">
      <c r="B4" s="105"/>
      <c r="C4" s="105"/>
      <c r="D4" s="105"/>
      <c r="E4" s="105"/>
      <c r="F4" s="105"/>
      <c r="G4" s="212"/>
      <c r="H4" s="213" t="s">
        <v>205</v>
      </c>
      <c r="I4" s="213" t="s">
        <v>206</v>
      </c>
      <c r="J4" s="213" t="s">
        <v>205</v>
      </c>
      <c r="K4" s="224" t="s">
        <v>207</v>
      </c>
      <c r="L4" s="105"/>
      <c r="M4" s="212"/>
      <c r="N4" s="213" t="s">
        <v>205</v>
      </c>
      <c r="O4" s="213" t="s">
        <v>206</v>
      </c>
      <c r="P4" s="213" t="s">
        <v>205</v>
      </c>
      <c r="Q4" s="224" t="s">
        <v>207</v>
      </c>
    </row>
    <row r="5" s="205" customFormat="1" ht="18" customHeight="1" spans="1:17">
      <c r="A5" s="214"/>
      <c r="B5" s="215" t="s">
        <v>38</v>
      </c>
      <c r="C5" s="216" t="s">
        <v>39</v>
      </c>
      <c r="D5" s="215" t="s">
        <v>40</v>
      </c>
      <c r="E5" s="216" t="s">
        <v>41</v>
      </c>
      <c r="F5" s="215" t="s">
        <v>124</v>
      </c>
      <c r="G5" s="215" t="s">
        <v>125</v>
      </c>
      <c r="H5" s="215" t="s">
        <v>126</v>
      </c>
      <c r="I5" s="215" t="s">
        <v>127</v>
      </c>
      <c r="J5" s="216" t="s">
        <v>128</v>
      </c>
      <c r="K5" s="216" t="s">
        <v>208</v>
      </c>
      <c r="L5" s="215" t="s">
        <v>124</v>
      </c>
      <c r="M5" s="215" t="s">
        <v>125</v>
      </c>
      <c r="N5" s="215" t="s">
        <v>126</v>
      </c>
      <c r="O5" s="215" t="s">
        <v>127</v>
      </c>
      <c r="P5" s="216" t="s">
        <v>128</v>
      </c>
      <c r="Q5" s="216" t="s">
        <v>208</v>
      </c>
    </row>
    <row r="6" ht="15.75" customHeight="1" spans="1:17">
      <c r="A6" s="177">
        <v>1</v>
      </c>
      <c r="B6" s="105">
        <v>1</v>
      </c>
      <c r="C6" s="217" t="s">
        <v>143</v>
      </c>
      <c r="D6" s="218" t="s">
        <v>144</v>
      </c>
      <c r="E6" s="219" t="s">
        <v>145</v>
      </c>
      <c r="F6" s="105">
        <f>'表三甲(451)'!F11</f>
        <v>1344</v>
      </c>
      <c r="G6" s="220" t="s">
        <v>209</v>
      </c>
      <c r="H6" s="221">
        <v>0.03</v>
      </c>
      <c r="I6" s="221">
        <v>144</v>
      </c>
      <c r="J6" s="221">
        <f>F6*H6</f>
        <v>40.32</v>
      </c>
      <c r="K6" s="221">
        <f>I6*J6</f>
        <v>5806.08</v>
      </c>
      <c r="L6" s="105">
        <f>'表三甲(451)'!L11</f>
        <v>0</v>
      </c>
      <c r="M6" s="220" t="s">
        <v>209</v>
      </c>
      <c r="N6" s="221">
        <v>0.03</v>
      </c>
      <c r="O6" s="221">
        <v>144</v>
      </c>
      <c r="P6" s="221">
        <f>L6*N6</f>
        <v>0</v>
      </c>
      <c r="Q6" s="221">
        <f>O6*P6</f>
        <v>0</v>
      </c>
    </row>
    <row r="7" ht="15.75" customHeight="1" spans="1:17">
      <c r="A7" s="177">
        <v>2</v>
      </c>
      <c r="B7" s="105">
        <v>2</v>
      </c>
      <c r="C7" s="217">
        <v>0</v>
      </c>
      <c r="D7" s="218" t="s">
        <v>184</v>
      </c>
      <c r="E7" s="219">
        <v>0</v>
      </c>
      <c r="F7" s="105">
        <v>0</v>
      </c>
      <c r="G7" s="220">
        <v>0</v>
      </c>
      <c r="H7" s="221">
        <v>0</v>
      </c>
      <c r="I7" s="221">
        <v>0</v>
      </c>
      <c r="J7" s="221">
        <v>0</v>
      </c>
      <c r="K7" s="221">
        <f>SUM(K6)</f>
        <v>5806.08</v>
      </c>
      <c r="L7" s="105">
        <v>0</v>
      </c>
      <c r="M7" s="220">
        <v>0</v>
      </c>
      <c r="N7" s="221">
        <v>0</v>
      </c>
      <c r="O7" s="221">
        <v>0</v>
      </c>
      <c r="P7" s="221">
        <v>0</v>
      </c>
      <c r="Q7" s="221">
        <f>SUM(Q6)</f>
        <v>0</v>
      </c>
    </row>
    <row r="8" ht="15.75" customHeight="1" spans="1:17">
      <c r="A8" s="177">
        <v>3</v>
      </c>
      <c r="B8" s="105">
        <v>0</v>
      </c>
      <c r="C8" s="217" t="s">
        <v>30</v>
      </c>
      <c r="D8" s="218" t="s">
        <v>30</v>
      </c>
      <c r="E8" s="219">
        <v>0</v>
      </c>
      <c r="F8" s="105" t="s">
        <v>30</v>
      </c>
      <c r="G8" s="220" t="s">
        <v>30</v>
      </c>
      <c r="H8" s="221" t="s">
        <v>30</v>
      </c>
      <c r="I8" s="221" t="s">
        <v>30</v>
      </c>
      <c r="J8" s="221">
        <v>0</v>
      </c>
      <c r="K8" s="221" t="s">
        <v>30</v>
      </c>
      <c r="L8" s="105" t="s">
        <v>30</v>
      </c>
      <c r="M8" s="220" t="s">
        <v>30</v>
      </c>
      <c r="N8" s="221" t="s">
        <v>30</v>
      </c>
      <c r="O8" s="221" t="s">
        <v>30</v>
      </c>
      <c r="P8" s="221">
        <v>0</v>
      </c>
      <c r="Q8" s="221" t="s">
        <v>30</v>
      </c>
    </row>
    <row r="9" ht="15.75" customHeight="1" spans="1:17">
      <c r="A9" s="177">
        <v>4</v>
      </c>
      <c r="B9" s="105">
        <v>0</v>
      </c>
      <c r="C9" s="217" t="s">
        <v>30</v>
      </c>
      <c r="D9" s="218" t="s">
        <v>30</v>
      </c>
      <c r="E9" s="219">
        <v>0</v>
      </c>
      <c r="F9" s="105" t="s">
        <v>30</v>
      </c>
      <c r="G9" s="220" t="s">
        <v>30</v>
      </c>
      <c r="H9" s="221" t="s">
        <v>30</v>
      </c>
      <c r="I9" s="221" t="s">
        <v>30</v>
      </c>
      <c r="J9" s="221">
        <v>0</v>
      </c>
      <c r="K9" s="221" t="s">
        <v>30</v>
      </c>
      <c r="L9" s="105" t="s">
        <v>30</v>
      </c>
      <c r="M9" s="220" t="s">
        <v>30</v>
      </c>
      <c r="N9" s="221" t="s">
        <v>30</v>
      </c>
      <c r="O9" s="221" t="s">
        <v>30</v>
      </c>
      <c r="P9" s="221">
        <v>0</v>
      </c>
      <c r="Q9" s="221" t="s">
        <v>30</v>
      </c>
    </row>
    <row r="10" ht="15.75" customHeight="1" spans="1:17">
      <c r="A10" s="177">
        <v>5</v>
      </c>
      <c r="B10" s="105">
        <v>0</v>
      </c>
      <c r="C10" s="217" t="s">
        <v>30</v>
      </c>
      <c r="D10" s="218" t="s">
        <v>30</v>
      </c>
      <c r="E10" s="219">
        <v>0</v>
      </c>
      <c r="F10" s="105" t="s">
        <v>30</v>
      </c>
      <c r="G10" s="220" t="s">
        <v>30</v>
      </c>
      <c r="H10" s="221" t="s">
        <v>30</v>
      </c>
      <c r="I10" s="221" t="s">
        <v>30</v>
      </c>
      <c r="J10" s="221">
        <v>0</v>
      </c>
      <c r="K10" s="221" t="s">
        <v>30</v>
      </c>
      <c r="L10" s="105" t="s">
        <v>30</v>
      </c>
      <c r="M10" s="220" t="s">
        <v>30</v>
      </c>
      <c r="N10" s="221" t="s">
        <v>30</v>
      </c>
      <c r="O10" s="221" t="s">
        <v>30</v>
      </c>
      <c r="P10" s="221">
        <v>0</v>
      </c>
      <c r="Q10" s="221" t="s">
        <v>30</v>
      </c>
    </row>
    <row r="11" ht="15.75" customHeight="1" spans="1:17">
      <c r="A11" s="177">
        <v>6</v>
      </c>
      <c r="B11" s="105">
        <v>0</v>
      </c>
      <c r="C11" s="217" t="s">
        <v>30</v>
      </c>
      <c r="D11" s="218" t="s">
        <v>30</v>
      </c>
      <c r="E11" s="219">
        <v>0</v>
      </c>
      <c r="F11" s="105" t="s">
        <v>30</v>
      </c>
      <c r="G11" s="220" t="s">
        <v>30</v>
      </c>
      <c r="H11" s="221" t="s">
        <v>30</v>
      </c>
      <c r="I11" s="221" t="s">
        <v>30</v>
      </c>
      <c r="J11" s="221">
        <v>0</v>
      </c>
      <c r="K11" s="221" t="s">
        <v>30</v>
      </c>
      <c r="L11" s="105" t="s">
        <v>30</v>
      </c>
      <c r="M11" s="220" t="s">
        <v>30</v>
      </c>
      <c r="N11" s="221" t="s">
        <v>30</v>
      </c>
      <c r="O11" s="221" t="s">
        <v>30</v>
      </c>
      <c r="P11" s="221">
        <v>0</v>
      </c>
      <c r="Q11" s="221" t="s">
        <v>30</v>
      </c>
    </row>
    <row r="12" ht="15.75" customHeight="1" spans="1:17">
      <c r="A12" s="177">
        <v>7</v>
      </c>
      <c r="B12" s="105">
        <v>0</v>
      </c>
      <c r="C12" s="217" t="s">
        <v>30</v>
      </c>
      <c r="D12" s="218" t="s">
        <v>30</v>
      </c>
      <c r="E12" s="219">
        <v>0</v>
      </c>
      <c r="F12" s="105" t="s">
        <v>30</v>
      </c>
      <c r="G12" s="220" t="s">
        <v>30</v>
      </c>
      <c r="H12" s="221" t="s">
        <v>30</v>
      </c>
      <c r="I12" s="221" t="s">
        <v>30</v>
      </c>
      <c r="J12" s="221">
        <v>0</v>
      </c>
      <c r="K12" s="221" t="s">
        <v>30</v>
      </c>
      <c r="L12" s="105" t="s">
        <v>30</v>
      </c>
      <c r="M12" s="220" t="s">
        <v>30</v>
      </c>
      <c r="N12" s="221" t="s">
        <v>30</v>
      </c>
      <c r="O12" s="221" t="s">
        <v>30</v>
      </c>
      <c r="P12" s="221">
        <v>0</v>
      </c>
      <c r="Q12" s="221" t="s">
        <v>30</v>
      </c>
    </row>
    <row r="13" ht="15.75" customHeight="1" spans="1:17">
      <c r="A13" s="177">
        <v>8</v>
      </c>
      <c r="B13" s="105">
        <v>0</v>
      </c>
      <c r="C13" s="217" t="s">
        <v>30</v>
      </c>
      <c r="D13" s="218" t="s">
        <v>30</v>
      </c>
      <c r="E13" s="219">
        <v>0</v>
      </c>
      <c r="F13" s="105" t="s">
        <v>30</v>
      </c>
      <c r="G13" s="220" t="s">
        <v>30</v>
      </c>
      <c r="H13" s="221" t="s">
        <v>30</v>
      </c>
      <c r="I13" s="221" t="s">
        <v>30</v>
      </c>
      <c r="J13" s="221">
        <v>0</v>
      </c>
      <c r="K13" s="221" t="s">
        <v>30</v>
      </c>
      <c r="L13" s="105" t="s">
        <v>30</v>
      </c>
      <c r="M13" s="220" t="s">
        <v>30</v>
      </c>
      <c r="N13" s="221" t="s">
        <v>30</v>
      </c>
      <c r="O13" s="221" t="s">
        <v>30</v>
      </c>
      <c r="P13" s="221">
        <v>0</v>
      </c>
      <c r="Q13" s="221" t="s">
        <v>30</v>
      </c>
    </row>
    <row r="14" ht="15.75" customHeight="1" spans="1:17">
      <c r="A14" s="177">
        <v>9</v>
      </c>
      <c r="B14" s="105">
        <v>0</v>
      </c>
      <c r="C14" s="217" t="s">
        <v>30</v>
      </c>
      <c r="D14" s="218" t="s">
        <v>30</v>
      </c>
      <c r="E14" s="219">
        <v>0</v>
      </c>
      <c r="F14" s="105" t="s">
        <v>30</v>
      </c>
      <c r="G14" s="220" t="s">
        <v>30</v>
      </c>
      <c r="H14" s="221" t="s">
        <v>30</v>
      </c>
      <c r="I14" s="221" t="s">
        <v>30</v>
      </c>
      <c r="J14" s="221">
        <v>0</v>
      </c>
      <c r="K14" s="221" t="s">
        <v>30</v>
      </c>
      <c r="L14" s="105" t="s">
        <v>30</v>
      </c>
      <c r="M14" s="220" t="s">
        <v>30</v>
      </c>
      <c r="N14" s="221" t="s">
        <v>30</v>
      </c>
      <c r="O14" s="221" t="s">
        <v>30</v>
      </c>
      <c r="P14" s="221">
        <v>0</v>
      </c>
      <c r="Q14" s="221" t="s">
        <v>30</v>
      </c>
    </row>
    <row r="15" ht="15.75" customHeight="1" spans="1:17">
      <c r="A15" s="177">
        <v>10</v>
      </c>
      <c r="B15" s="105">
        <v>0</v>
      </c>
      <c r="C15" s="217" t="s">
        <v>30</v>
      </c>
      <c r="D15" s="218" t="s">
        <v>30</v>
      </c>
      <c r="E15" s="219">
        <v>0</v>
      </c>
      <c r="F15" s="105" t="s">
        <v>30</v>
      </c>
      <c r="G15" s="220" t="s">
        <v>30</v>
      </c>
      <c r="H15" s="221" t="s">
        <v>30</v>
      </c>
      <c r="I15" s="221" t="s">
        <v>30</v>
      </c>
      <c r="J15" s="221">
        <v>0</v>
      </c>
      <c r="K15" s="221" t="s">
        <v>30</v>
      </c>
      <c r="L15" s="105" t="s">
        <v>30</v>
      </c>
      <c r="M15" s="220" t="s">
        <v>30</v>
      </c>
      <c r="N15" s="221" t="s">
        <v>30</v>
      </c>
      <c r="O15" s="221" t="s">
        <v>30</v>
      </c>
      <c r="P15" s="221">
        <v>0</v>
      </c>
      <c r="Q15" s="221" t="s">
        <v>30</v>
      </c>
    </row>
    <row r="16" ht="15.75" customHeight="1" spans="1:17">
      <c r="A16" s="177">
        <v>11</v>
      </c>
      <c r="B16" s="105">
        <v>0</v>
      </c>
      <c r="C16" s="217" t="s">
        <v>30</v>
      </c>
      <c r="D16" s="218" t="s">
        <v>30</v>
      </c>
      <c r="E16" s="219">
        <v>0</v>
      </c>
      <c r="F16" s="105" t="s">
        <v>30</v>
      </c>
      <c r="G16" s="220" t="s">
        <v>30</v>
      </c>
      <c r="H16" s="221" t="s">
        <v>30</v>
      </c>
      <c r="I16" s="221" t="s">
        <v>30</v>
      </c>
      <c r="J16" s="221">
        <v>0</v>
      </c>
      <c r="K16" s="221" t="s">
        <v>30</v>
      </c>
      <c r="L16" s="105" t="s">
        <v>30</v>
      </c>
      <c r="M16" s="220" t="s">
        <v>30</v>
      </c>
      <c r="N16" s="221" t="s">
        <v>30</v>
      </c>
      <c r="O16" s="221" t="s">
        <v>30</v>
      </c>
      <c r="P16" s="221">
        <v>0</v>
      </c>
      <c r="Q16" s="221" t="s">
        <v>30</v>
      </c>
    </row>
    <row r="17" spans="1:17">
      <c r="A17" s="177">
        <v>12</v>
      </c>
      <c r="B17" s="105">
        <v>0</v>
      </c>
      <c r="C17" s="217" t="s">
        <v>30</v>
      </c>
      <c r="D17" s="218" t="s">
        <v>30</v>
      </c>
      <c r="E17" s="219">
        <v>0</v>
      </c>
      <c r="F17" s="105" t="s">
        <v>30</v>
      </c>
      <c r="G17" s="220" t="s">
        <v>30</v>
      </c>
      <c r="H17" s="221" t="s">
        <v>30</v>
      </c>
      <c r="I17" s="221" t="s">
        <v>30</v>
      </c>
      <c r="J17" s="221">
        <v>0</v>
      </c>
      <c r="K17" s="221" t="s">
        <v>30</v>
      </c>
      <c r="L17" s="105" t="s">
        <v>30</v>
      </c>
      <c r="M17" s="220" t="s">
        <v>30</v>
      </c>
      <c r="N17" s="221" t="s">
        <v>30</v>
      </c>
      <c r="O17" s="221" t="s">
        <v>30</v>
      </c>
      <c r="P17" s="221">
        <v>0</v>
      </c>
      <c r="Q17" s="221" t="s">
        <v>30</v>
      </c>
    </row>
    <row r="18" spans="1:17">
      <c r="A18" s="177">
        <v>13</v>
      </c>
      <c r="B18" s="105">
        <v>0</v>
      </c>
      <c r="C18" s="217" t="s">
        <v>30</v>
      </c>
      <c r="D18" s="218" t="s">
        <v>30</v>
      </c>
      <c r="E18" s="219">
        <v>0</v>
      </c>
      <c r="F18" s="105" t="s">
        <v>30</v>
      </c>
      <c r="G18" s="220" t="s">
        <v>30</v>
      </c>
      <c r="H18" s="221" t="s">
        <v>30</v>
      </c>
      <c r="I18" s="221" t="s">
        <v>30</v>
      </c>
      <c r="J18" s="221">
        <v>0</v>
      </c>
      <c r="K18" s="221" t="s">
        <v>30</v>
      </c>
      <c r="L18" s="105" t="s">
        <v>30</v>
      </c>
      <c r="M18" s="220" t="s">
        <v>30</v>
      </c>
      <c r="N18" s="221" t="s">
        <v>30</v>
      </c>
      <c r="O18" s="221" t="s">
        <v>30</v>
      </c>
      <c r="P18" s="221">
        <v>0</v>
      </c>
      <c r="Q18" s="221" t="s">
        <v>30</v>
      </c>
    </row>
    <row r="19" spans="1:17">
      <c r="A19" s="177">
        <v>14</v>
      </c>
      <c r="B19" s="105">
        <v>0</v>
      </c>
      <c r="C19" s="217" t="s">
        <v>30</v>
      </c>
      <c r="D19" s="218" t="s">
        <v>30</v>
      </c>
      <c r="E19" s="219">
        <v>0</v>
      </c>
      <c r="F19" s="105" t="s">
        <v>30</v>
      </c>
      <c r="G19" s="220" t="s">
        <v>30</v>
      </c>
      <c r="H19" s="221" t="s">
        <v>30</v>
      </c>
      <c r="I19" s="221" t="s">
        <v>30</v>
      </c>
      <c r="J19" s="221">
        <v>0</v>
      </c>
      <c r="K19" s="221" t="s">
        <v>30</v>
      </c>
      <c r="L19" s="105" t="s">
        <v>30</v>
      </c>
      <c r="M19" s="220" t="s">
        <v>30</v>
      </c>
      <c r="N19" s="221" t="s">
        <v>30</v>
      </c>
      <c r="O19" s="221" t="s">
        <v>30</v>
      </c>
      <c r="P19" s="221">
        <v>0</v>
      </c>
      <c r="Q19" s="221" t="s">
        <v>30</v>
      </c>
    </row>
    <row r="20" spans="1:17">
      <c r="A20" s="177">
        <v>15</v>
      </c>
      <c r="B20" s="105">
        <v>0</v>
      </c>
      <c r="C20" s="217" t="s">
        <v>30</v>
      </c>
      <c r="D20" s="218" t="s">
        <v>30</v>
      </c>
      <c r="E20" s="219">
        <v>0</v>
      </c>
      <c r="F20" s="105" t="s">
        <v>30</v>
      </c>
      <c r="G20" s="220" t="s">
        <v>30</v>
      </c>
      <c r="H20" s="221" t="s">
        <v>30</v>
      </c>
      <c r="I20" s="221" t="s">
        <v>30</v>
      </c>
      <c r="J20" s="221">
        <v>0</v>
      </c>
      <c r="K20" s="221" t="s">
        <v>30</v>
      </c>
      <c r="L20" s="105" t="s">
        <v>30</v>
      </c>
      <c r="M20" s="220" t="s">
        <v>30</v>
      </c>
      <c r="N20" s="221" t="s">
        <v>30</v>
      </c>
      <c r="O20" s="221" t="s">
        <v>30</v>
      </c>
      <c r="P20" s="221">
        <v>0</v>
      </c>
      <c r="Q20" s="221" t="s">
        <v>30</v>
      </c>
    </row>
    <row r="21" spans="1:17">
      <c r="A21" s="177">
        <v>16</v>
      </c>
      <c r="B21" s="105">
        <v>0</v>
      </c>
      <c r="C21" s="217" t="s">
        <v>30</v>
      </c>
      <c r="D21" s="218" t="s">
        <v>30</v>
      </c>
      <c r="E21" s="219">
        <v>0</v>
      </c>
      <c r="F21" s="105" t="s">
        <v>30</v>
      </c>
      <c r="G21" s="220" t="s">
        <v>30</v>
      </c>
      <c r="H21" s="221" t="s">
        <v>30</v>
      </c>
      <c r="I21" s="221" t="s">
        <v>30</v>
      </c>
      <c r="J21" s="221">
        <v>0</v>
      </c>
      <c r="K21" s="221" t="s">
        <v>30</v>
      </c>
      <c r="L21" s="105" t="s">
        <v>30</v>
      </c>
      <c r="M21" s="220" t="s">
        <v>30</v>
      </c>
      <c r="N21" s="221" t="s">
        <v>30</v>
      </c>
      <c r="O21" s="221" t="s">
        <v>30</v>
      </c>
      <c r="P21" s="221">
        <v>0</v>
      </c>
      <c r="Q21" s="221" t="s">
        <v>30</v>
      </c>
    </row>
    <row r="22" spans="1:17">
      <c r="A22" s="177">
        <v>17</v>
      </c>
      <c r="B22" s="105">
        <v>0</v>
      </c>
      <c r="C22" s="217" t="s">
        <v>30</v>
      </c>
      <c r="D22" s="218" t="s">
        <v>30</v>
      </c>
      <c r="E22" s="219">
        <v>0</v>
      </c>
      <c r="F22" s="105" t="s">
        <v>30</v>
      </c>
      <c r="G22" s="220" t="s">
        <v>30</v>
      </c>
      <c r="H22" s="221" t="s">
        <v>30</v>
      </c>
      <c r="I22" s="221" t="s">
        <v>30</v>
      </c>
      <c r="J22" s="221">
        <v>0</v>
      </c>
      <c r="K22" s="221" t="s">
        <v>30</v>
      </c>
      <c r="L22" s="105" t="s">
        <v>30</v>
      </c>
      <c r="M22" s="220" t="s">
        <v>30</v>
      </c>
      <c r="N22" s="221" t="s">
        <v>30</v>
      </c>
      <c r="O22" s="221" t="s">
        <v>30</v>
      </c>
      <c r="P22" s="221">
        <v>0</v>
      </c>
      <c r="Q22" s="221" t="s">
        <v>30</v>
      </c>
    </row>
    <row r="23" spans="1:17">
      <c r="A23" s="177">
        <v>18</v>
      </c>
      <c r="B23" s="105">
        <v>0</v>
      </c>
      <c r="C23" s="217" t="s">
        <v>30</v>
      </c>
      <c r="D23" s="218" t="s">
        <v>30</v>
      </c>
      <c r="E23" s="219">
        <v>0</v>
      </c>
      <c r="F23" s="105" t="s">
        <v>30</v>
      </c>
      <c r="G23" s="220" t="s">
        <v>30</v>
      </c>
      <c r="H23" s="221" t="s">
        <v>30</v>
      </c>
      <c r="I23" s="221" t="s">
        <v>30</v>
      </c>
      <c r="J23" s="221">
        <v>0</v>
      </c>
      <c r="K23" s="221" t="s">
        <v>30</v>
      </c>
      <c r="L23" s="105" t="s">
        <v>30</v>
      </c>
      <c r="M23" s="220" t="s">
        <v>30</v>
      </c>
      <c r="N23" s="221" t="s">
        <v>30</v>
      </c>
      <c r="O23" s="221" t="s">
        <v>30</v>
      </c>
      <c r="P23" s="221">
        <v>0</v>
      </c>
      <c r="Q23" s="221" t="s">
        <v>30</v>
      </c>
    </row>
    <row r="24" spans="1:17">
      <c r="A24" s="177">
        <v>19</v>
      </c>
      <c r="B24" s="105">
        <v>0</v>
      </c>
      <c r="C24" s="217" t="s">
        <v>30</v>
      </c>
      <c r="D24" s="218" t="s">
        <v>30</v>
      </c>
      <c r="E24" s="219">
        <v>0</v>
      </c>
      <c r="F24" s="105" t="s">
        <v>30</v>
      </c>
      <c r="G24" s="220" t="s">
        <v>30</v>
      </c>
      <c r="H24" s="221" t="s">
        <v>30</v>
      </c>
      <c r="I24" s="221" t="s">
        <v>30</v>
      </c>
      <c r="J24" s="221">
        <v>0</v>
      </c>
      <c r="K24" s="221" t="s">
        <v>30</v>
      </c>
      <c r="L24" s="105" t="s">
        <v>30</v>
      </c>
      <c r="M24" s="220" t="s">
        <v>30</v>
      </c>
      <c r="N24" s="221" t="s">
        <v>30</v>
      </c>
      <c r="O24" s="221" t="s">
        <v>30</v>
      </c>
      <c r="P24" s="221">
        <v>0</v>
      </c>
      <c r="Q24" s="221" t="s">
        <v>30</v>
      </c>
    </row>
    <row r="25" spans="1:17">
      <c r="A25" s="177">
        <v>20</v>
      </c>
      <c r="B25" s="105">
        <v>0</v>
      </c>
      <c r="C25" s="217" t="s">
        <v>30</v>
      </c>
      <c r="D25" s="218" t="s">
        <v>30</v>
      </c>
      <c r="E25" s="219">
        <v>0</v>
      </c>
      <c r="F25" s="105" t="s">
        <v>30</v>
      </c>
      <c r="G25" s="220" t="s">
        <v>30</v>
      </c>
      <c r="H25" s="221" t="s">
        <v>30</v>
      </c>
      <c r="I25" s="221" t="s">
        <v>30</v>
      </c>
      <c r="J25" s="221">
        <v>0</v>
      </c>
      <c r="K25" s="221" t="s">
        <v>30</v>
      </c>
      <c r="L25" s="105" t="s">
        <v>30</v>
      </c>
      <c r="M25" s="220" t="s">
        <v>30</v>
      </c>
      <c r="N25" s="221" t="s">
        <v>30</v>
      </c>
      <c r="O25" s="221" t="s">
        <v>30</v>
      </c>
      <c r="P25" s="221">
        <v>0</v>
      </c>
      <c r="Q25" s="221" t="s">
        <v>30</v>
      </c>
    </row>
    <row r="26" spans="1:17">
      <c r="A26" s="177">
        <v>21</v>
      </c>
      <c r="B26" s="105">
        <v>0</v>
      </c>
      <c r="C26" s="217" t="s">
        <v>30</v>
      </c>
      <c r="D26" s="218" t="s">
        <v>30</v>
      </c>
      <c r="E26" s="219">
        <v>0</v>
      </c>
      <c r="F26" s="105" t="s">
        <v>30</v>
      </c>
      <c r="G26" s="220" t="s">
        <v>30</v>
      </c>
      <c r="H26" s="221" t="s">
        <v>30</v>
      </c>
      <c r="I26" s="221" t="s">
        <v>30</v>
      </c>
      <c r="J26" s="221">
        <v>0</v>
      </c>
      <c r="K26" s="221" t="s">
        <v>30</v>
      </c>
      <c r="L26" s="105" t="s">
        <v>30</v>
      </c>
      <c r="M26" s="220" t="s">
        <v>30</v>
      </c>
      <c r="N26" s="221" t="s">
        <v>30</v>
      </c>
      <c r="O26" s="221" t="s">
        <v>30</v>
      </c>
      <c r="P26" s="221">
        <v>0</v>
      </c>
      <c r="Q26" s="221" t="s">
        <v>30</v>
      </c>
    </row>
    <row r="27" spans="1:17">
      <c r="A27" s="177">
        <v>22</v>
      </c>
      <c r="B27" s="105">
        <v>0</v>
      </c>
      <c r="C27" s="217" t="s">
        <v>30</v>
      </c>
      <c r="D27" s="218" t="s">
        <v>30</v>
      </c>
      <c r="E27" s="219">
        <v>0</v>
      </c>
      <c r="F27" s="105" t="s">
        <v>30</v>
      </c>
      <c r="G27" s="220" t="s">
        <v>30</v>
      </c>
      <c r="H27" s="221" t="s">
        <v>30</v>
      </c>
      <c r="I27" s="221" t="s">
        <v>30</v>
      </c>
      <c r="J27" s="221">
        <v>0</v>
      </c>
      <c r="K27" s="221" t="s">
        <v>30</v>
      </c>
      <c r="L27" s="105" t="s">
        <v>30</v>
      </c>
      <c r="M27" s="220" t="s">
        <v>30</v>
      </c>
      <c r="N27" s="221" t="s">
        <v>30</v>
      </c>
      <c r="O27" s="221" t="s">
        <v>30</v>
      </c>
      <c r="P27" s="221">
        <v>0</v>
      </c>
      <c r="Q27" s="221" t="s">
        <v>30</v>
      </c>
    </row>
    <row r="28" spans="1:17">
      <c r="A28" s="177">
        <v>23</v>
      </c>
      <c r="B28" s="105">
        <v>0</v>
      </c>
      <c r="C28" s="217" t="s">
        <v>30</v>
      </c>
      <c r="D28" s="218" t="s">
        <v>30</v>
      </c>
      <c r="E28" s="219">
        <v>0</v>
      </c>
      <c r="F28" s="105" t="s">
        <v>30</v>
      </c>
      <c r="G28" s="220" t="s">
        <v>30</v>
      </c>
      <c r="H28" s="221" t="s">
        <v>30</v>
      </c>
      <c r="I28" s="221" t="s">
        <v>30</v>
      </c>
      <c r="J28" s="221">
        <v>0</v>
      </c>
      <c r="K28" s="221" t="s">
        <v>30</v>
      </c>
      <c r="L28" s="105" t="s">
        <v>30</v>
      </c>
      <c r="M28" s="220" t="s">
        <v>30</v>
      </c>
      <c r="N28" s="221" t="s">
        <v>30</v>
      </c>
      <c r="O28" s="221" t="s">
        <v>30</v>
      </c>
      <c r="P28" s="221">
        <v>0</v>
      </c>
      <c r="Q28" s="221" t="s">
        <v>30</v>
      </c>
    </row>
    <row r="29" spans="1:17">
      <c r="A29" s="177">
        <v>24</v>
      </c>
      <c r="B29" s="105">
        <v>0</v>
      </c>
      <c r="C29" s="217" t="s">
        <v>30</v>
      </c>
      <c r="D29" s="218" t="s">
        <v>30</v>
      </c>
      <c r="E29" s="219">
        <v>0</v>
      </c>
      <c r="F29" s="105" t="s">
        <v>30</v>
      </c>
      <c r="G29" s="220" t="s">
        <v>30</v>
      </c>
      <c r="H29" s="221" t="s">
        <v>30</v>
      </c>
      <c r="I29" s="221" t="s">
        <v>30</v>
      </c>
      <c r="J29" s="221">
        <v>0</v>
      </c>
      <c r="K29" s="221" t="s">
        <v>30</v>
      </c>
      <c r="L29" s="105" t="s">
        <v>30</v>
      </c>
      <c r="M29" s="220" t="s">
        <v>30</v>
      </c>
      <c r="N29" s="221" t="s">
        <v>30</v>
      </c>
      <c r="O29" s="221" t="s">
        <v>30</v>
      </c>
      <c r="P29" s="221">
        <v>0</v>
      </c>
      <c r="Q29" s="221" t="s">
        <v>30</v>
      </c>
    </row>
    <row r="30" spans="2:17">
      <c r="B30" s="189" t="s">
        <v>32</v>
      </c>
      <c r="C30" s="235"/>
      <c r="D30" s="204"/>
      <c r="E30" s="206"/>
      <c r="F30" s="206"/>
      <c r="G30" s="206"/>
      <c r="H30" s="209"/>
      <c r="I30" s="209"/>
      <c r="J30" s="209"/>
      <c r="K30" s="225" t="s">
        <v>113</v>
      </c>
      <c r="L30" s="206"/>
      <c r="M30" s="206"/>
      <c r="N30" s="209"/>
      <c r="O30" s="209"/>
      <c r="P30" s="209"/>
      <c r="Q30" s="225" t="s">
        <v>113</v>
      </c>
    </row>
    <row r="31" spans="5:16">
      <c r="E31" s="176"/>
      <c r="H31" s="176"/>
      <c r="I31" s="176"/>
      <c r="J31" s="176"/>
      <c r="N31" s="176"/>
      <c r="O31" s="176"/>
      <c r="P31" s="176"/>
    </row>
    <row r="32" spans="5:16">
      <c r="E32" s="176"/>
      <c r="H32" s="176"/>
      <c r="I32" s="176"/>
      <c r="J32" s="176"/>
      <c r="N32" s="176"/>
      <c r="O32" s="176"/>
      <c r="P32" s="176"/>
    </row>
  </sheetData>
  <sheetProtection password="CEAA" sheet="1"/>
  <mergeCells count="13">
    <mergeCell ref="B1:K1"/>
    <mergeCell ref="H3:I3"/>
    <mergeCell ref="J3:K3"/>
    <mergeCell ref="N3:O3"/>
    <mergeCell ref="P3:Q3"/>
    <mergeCell ref="B3:B4"/>
    <mergeCell ref="C3:C4"/>
    <mergeCell ref="D3:D4"/>
    <mergeCell ref="E3:E4"/>
    <mergeCell ref="F3:F4"/>
    <mergeCell ref="G3:G4"/>
    <mergeCell ref="L3:L4"/>
    <mergeCell ref="M3:M4"/>
  </mergeCells>
  <pageMargins left="0.7" right="0.7" top="0.75" bottom="0.75" header="0.3" footer="0.3"/>
  <pageSetup paperSize="9" scale="9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view="pageBreakPreview" zoomScaleNormal="100" workbookViewId="0">
      <selection activeCell="P19" sqref="P19"/>
    </sheetView>
  </sheetViews>
  <sheetFormatPr defaultColWidth="9.90833333333333" defaultRowHeight="12.75" outlineLevelRow="6"/>
  <cols>
    <col min="1" max="1" width="3.875" style="176" customWidth="1"/>
    <col min="2" max="2" width="8.625" style="176" customWidth="1"/>
    <col min="3" max="3" width="18.375" style="176" customWidth="1"/>
    <col min="4" max="4" width="5.5" style="177" customWidth="1"/>
    <col min="5" max="5" width="6.25833333333333" style="176" customWidth="1"/>
    <col min="6" max="6" width="11.875" style="176" customWidth="1"/>
    <col min="7" max="9" width="8.375" style="178" customWidth="1"/>
    <col min="10" max="10" width="8.375" style="176" customWidth="1"/>
    <col min="11" max="11" width="6.25833333333333" style="176" customWidth="1"/>
    <col min="12" max="12" width="11.7583333333333" style="176" customWidth="1"/>
    <col min="13" max="15" width="8.375" style="178" customWidth="1"/>
    <col min="16" max="18" width="8.375" style="176" customWidth="1"/>
    <col min="19" max="30" width="19.875" style="176" customWidth="1"/>
    <col min="31" max="31" width="5.625" style="176" customWidth="1"/>
    <col min="32" max="256" width="9" style="176" hidden="1"/>
    <col min="257" max="257" width="3.875" style="176" customWidth="1"/>
    <col min="258" max="258" width="8.625" style="176" customWidth="1"/>
    <col min="259" max="259" width="21.125" style="176" customWidth="1"/>
    <col min="260" max="260" width="8.125" style="176" customWidth="1"/>
    <col min="261" max="261" width="6.25833333333333" style="176" customWidth="1"/>
    <col min="262" max="262" width="13.7583333333333" style="176" customWidth="1"/>
    <col min="263" max="266" width="8.375" style="176" customWidth="1"/>
    <col min="267" max="267" width="6.25833333333333" style="176" customWidth="1"/>
    <col min="268" max="268" width="13.7583333333333" style="176" customWidth="1"/>
    <col min="269" max="274" width="8.375" style="176" customWidth="1"/>
    <col min="275" max="286" width="19.875" style="176" customWidth="1"/>
    <col min="287" max="287" width="5.625" style="176" customWidth="1"/>
    <col min="288" max="512" width="9" style="176" hidden="1"/>
    <col min="513" max="513" width="3.875" style="176" customWidth="1"/>
    <col min="514" max="514" width="8.625" style="176" customWidth="1"/>
    <col min="515" max="515" width="21.125" style="176" customWidth="1"/>
    <col min="516" max="516" width="8.125" style="176" customWidth="1"/>
    <col min="517" max="517" width="6.25833333333333" style="176" customWidth="1"/>
    <col min="518" max="518" width="13.7583333333333" style="176" customWidth="1"/>
    <col min="519" max="522" width="8.375" style="176" customWidth="1"/>
    <col min="523" max="523" width="6.25833333333333" style="176" customWidth="1"/>
    <col min="524" max="524" width="13.7583333333333" style="176" customWidth="1"/>
    <col min="525" max="530" width="8.375" style="176" customWidth="1"/>
    <col min="531" max="542" width="19.875" style="176" customWidth="1"/>
    <col min="543" max="543" width="5.625" style="176" customWidth="1"/>
    <col min="544" max="768" width="9" style="176" hidden="1"/>
    <col min="769" max="769" width="3.875" style="176" customWidth="1"/>
    <col min="770" max="770" width="8.625" style="176" customWidth="1"/>
    <col min="771" max="771" width="21.125" style="176" customWidth="1"/>
    <col min="772" max="772" width="8.125" style="176" customWidth="1"/>
    <col min="773" max="773" width="6.25833333333333" style="176" customWidth="1"/>
    <col min="774" max="774" width="13.7583333333333" style="176" customWidth="1"/>
    <col min="775" max="778" width="8.375" style="176" customWidth="1"/>
    <col min="779" max="779" width="6.25833333333333" style="176" customWidth="1"/>
    <col min="780" max="780" width="13.7583333333333" style="176" customWidth="1"/>
    <col min="781" max="786" width="8.375" style="176" customWidth="1"/>
    <col min="787" max="798" width="19.875" style="176" customWidth="1"/>
    <col min="799" max="799" width="5.625" style="176" customWidth="1"/>
    <col min="800" max="1024" width="9" style="176" hidden="1"/>
    <col min="1025" max="1025" width="3.875" style="176" customWidth="1"/>
    <col min="1026" max="1026" width="8.625" style="176" customWidth="1"/>
    <col min="1027" max="1027" width="21.125" style="176" customWidth="1"/>
    <col min="1028" max="1028" width="8.125" style="176" customWidth="1"/>
    <col min="1029" max="1029" width="6.25833333333333" style="176" customWidth="1"/>
    <col min="1030" max="1030" width="13.7583333333333" style="176" customWidth="1"/>
    <col min="1031" max="1034" width="8.375" style="176" customWidth="1"/>
    <col min="1035" max="1035" width="6.25833333333333" style="176" customWidth="1"/>
    <col min="1036" max="1036" width="13.7583333333333" style="176" customWidth="1"/>
    <col min="1037" max="1042" width="8.375" style="176" customWidth="1"/>
    <col min="1043" max="1054" width="19.875" style="176" customWidth="1"/>
    <col min="1055" max="1055" width="5.625" style="176" customWidth="1"/>
    <col min="1056" max="1280" width="9" style="176" hidden="1"/>
    <col min="1281" max="1281" width="3.875" style="176" customWidth="1"/>
    <col min="1282" max="1282" width="8.625" style="176" customWidth="1"/>
    <col min="1283" max="1283" width="21.125" style="176" customWidth="1"/>
    <col min="1284" max="1284" width="8.125" style="176" customWidth="1"/>
    <col min="1285" max="1285" width="6.25833333333333" style="176" customWidth="1"/>
    <col min="1286" max="1286" width="13.7583333333333" style="176" customWidth="1"/>
    <col min="1287" max="1290" width="8.375" style="176" customWidth="1"/>
    <col min="1291" max="1291" width="6.25833333333333" style="176" customWidth="1"/>
    <col min="1292" max="1292" width="13.7583333333333" style="176" customWidth="1"/>
    <col min="1293" max="1298" width="8.375" style="176" customWidth="1"/>
    <col min="1299" max="1310" width="19.875" style="176" customWidth="1"/>
    <col min="1311" max="1311" width="5.625" style="176" customWidth="1"/>
    <col min="1312" max="1536" width="9" style="176" hidden="1"/>
    <col min="1537" max="1537" width="3.875" style="176" customWidth="1"/>
    <col min="1538" max="1538" width="8.625" style="176" customWidth="1"/>
    <col min="1539" max="1539" width="21.125" style="176" customWidth="1"/>
    <col min="1540" max="1540" width="8.125" style="176" customWidth="1"/>
    <col min="1541" max="1541" width="6.25833333333333" style="176" customWidth="1"/>
    <col min="1542" max="1542" width="13.7583333333333" style="176" customWidth="1"/>
    <col min="1543" max="1546" width="8.375" style="176" customWidth="1"/>
    <col min="1547" max="1547" width="6.25833333333333" style="176" customWidth="1"/>
    <col min="1548" max="1548" width="13.7583333333333" style="176" customWidth="1"/>
    <col min="1549" max="1554" width="8.375" style="176" customWidth="1"/>
    <col min="1555" max="1566" width="19.875" style="176" customWidth="1"/>
    <col min="1567" max="1567" width="5.625" style="176" customWidth="1"/>
    <col min="1568" max="1792" width="9" style="176" hidden="1"/>
    <col min="1793" max="1793" width="3.875" style="176" customWidth="1"/>
    <col min="1794" max="1794" width="8.625" style="176" customWidth="1"/>
    <col min="1795" max="1795" width="21.125" style="176" customWidth="1"/>
    <col min="1796" max="1796" width="8.125" style="176" customWidth="1"/>
    <col min="1797" max="1797" width="6.25833333333333" style="176" customWidth="1"/>
    <col min="1798" max="1798" width="13.7583333333333" style="176" customWidth="1"/>
    <col min="1799" max="1802" width="8.375" style="176" customWidth="1"/>
    <col min="1803" max="1803" width="6.25833333333333" style="176" customWidth="1"/>
    <col min="1804" max="1804" width="13.7583333333333" style="176" customWidth="1"/>
    <col min="1805" max="1810" width="8.375" style="176" customWidth="1"/>
    <col min="1811" max="1822" width="19.875" style="176" customWidth="1"/>
    <col min="1823" max="1823" width="5.625" style="176" customWidth="1"/>
    <col min="1824" max="2048" width="9" style="176" hidden="1"/>
    <col min="2049" max="2049" width="3.875" style="176" customWidth="1"/>
    <col min="2050" max="2050" width="8.625" style="176" customWidth="1"/>
    <col min="2051" max="2051" width="21.125" style="176" customWidth="1"/>
    <col min="2052" max="2052" width="8.125" style="176" customWidth="1"/>
    <col min="2053" max="2053" width="6.25833333333333" style="176" customWidth="1"/>
    <col min="2054" max="2054" width="13.7583333333333" style="176" customWidth="1"/>
    <col min="2055" max="2058" width="8.375" style="176" customWidth="1"/>
    <col min="2059" max="2059" width="6.25833333333333" style="176" customWidth="1"/>
    <col min="2060" max="2060" width="13.7583333333333" style="176" customWidth="1"/>
    <col min="2061" max="2066" width="8.375" style="176" customWidth="1"/>
    <col min="2067" max="2078" width="19.875" style="176" customWidth="1"/>
    <col min="2079" max="2079" width="5.625" style="176" customWidth="1"/>
    <col min="2080" max="2304" width="9" style="176" hidden="1"/>
    <col min="2305" max="2305" width="3.875" style="176" customWidth="1"/>
    <col min="2306" max="2306" width="8.625" style="176" customWidth="1"/>
    <col min="2307" max="2307" width="21.125" style="176" customWidth="1"/>
    <col min="2308" max="2308" width="8.125" style="176" customWidth="1"/>
    <col min="2309" max="2309" width="6.25833333333333" style="176" customWidth="1"/>
    <col min="2310" max="2310" width="13.7583333333333" style="176" customWidth="1"/>
    <col min="2311" max="2314" width="8.375" style="176" customWidth="1"/>
    <col min="2315" max="2315" width="6.25833333333333" style="176" customWidth="1"/>
    <col min="2316" max="2316" width="13.7583333333333" style="176" customWidth="1"/>
    <col min="2317" max="2322" width="8.375" style="176" customWidth="1"/>
    <col min="2323" max="2334" width="19.875" style="176" customWidth="1"/>
    <col min="2335" max="2335" width="5.625" style="176" customWidth="1"/>
    <col min="2336" max="2560" width="9" style="176" hidden="1"/>
    <col min="2561" max="2561" width="3.875" style="176" customWidth="1"/>
    <col min="2562" max="2562" width="8.625" style="176" customWidth="1"/>
    <col min="2563" max="2563" width="21.125" style="176" customWidth="1"/>
    <col min="2564" max="2564" width="8.125" style="176" customWidth="1"/>
    <col min="2565" max="2565" width="6.25833333333333" style="176" customWidth="1"/>
    <col min="2566" max="2566" width="13.7583333333333" style="176" customWidth="1"/>
    <col min="2567" max="2570" width="8.375" style="176" customWidth="1"/>
    <col min="2571" max="2571" width="6.25833333333333" style="176" customWidth="1"/>
    <col min="2572" max="2572" width="13.7583333333333" style="176" customWidth="1"/>
    <col min="2573" max="2578" width="8.375" style="176" customWidth="1"/>
    <col min="2579" max="2590" width="19.875" style="176" customWidth="1"/>
    <col min="2591" max="2591" width="5.625" style="176" customWidth="1"/>
    <col min="2592" max="2816" width="9" style="176" hidden="1"/>
    <col min="2817" max="2817" width="3.875" style="176" customWidth="1"/>
    <col min="2818" max="2818" width="8.625" style="176" customWidth="1"/>
    <col min="2819" max="2819" width="21.125" style="176" customWidth="1"/>
    <col min="2820" max="2820" width="8.125" style="176" customWidth="1"/>
    <col min="2821" max="2821" width="6.25833333333333" style="176" customWidth="1"/>
    <col min="2822" max="2822" width="13.7583333333333" style="176" customWidth="1"/>
    <col min="2823" max="2826" width="8.375" style="176" customWidth="1"/>
    <col min="2827" max="2827" width="6.25833333333333" style="176" customWidth="1"/>
    <col min="2828" max="2828" width="13.7583333333333" style="176" customWidth="1"/>
    <col min="2829" max="2834" width="8.375" style="176" customWidth="1"/>
    <col min="2835" max="2846" width="19.875" style="176" customWidth="1"/>
    <col min="2847" max="2847" width="5.625" style="176" customWidth="1"/>
    <col min="2848" max="3072" width="9" style="176" hidden="1"/>
    <col min="3073" max="3073" width="3.875" style="176" customWidth="1"/>
    <col min="3074" max="3074" width="8.625" style="176" customWidth="1"/>
    <col min="3075" max="3075" width="21.125" style="176" customWidth="1"/>
    <col min="3076" max="3076" width="8.125" style="176" customWidth="1"/>
    <col min="3077" max="3077" width="6.25833333333333" style="176" customWidth="1"/>
    <col min="3078" max="3078" width="13.7583333333333" style="176" customWidth="1"/>
    <col min="3079" max="3082" width="8.375" style="176" customWidth="1"/>
    <col min="3083" max="3083" width="6.25833333333333" style="176" customWidth="1"/>
    <col min="3084" max="3084" width="13.7583333333333" style="176" customWidth="1"/>
    <col min="3085" max="3090" width="8.375" style="176" customWidth="1"/>
    <col min="3091" max="3102" width="19.875" style="176" customWidth="1"/>
    <col min="3103" max="3103" width="5.625" style="176" customWidth="1"/>
    <col min="3104" max="3328" width="9" style="176" hidden="1"/>
    <col min="3329" max="3329" width="3.875" style="176" customWidth="1"/>
    <col min="3330" max="3330" width="8.625" style="176" customWidth="1"/>
    <col min="3331" max="3331" width="21.125" style="176" customWidth="1"/>
    <col min="3332" max="3332" width="8.125" style="176" customWidth="1"/>
    <col min="3333" max="3333" width="6.25833333333333" style="176" customWidth="1"/>
    <col min="3334" max="3334" width="13.7583333333333" style="176" customWidth="1"/>
    <col min="3335" max="3338" width="8.375" style="176" customWidth="1"/>
    <col min="3339" max="3339" width="6.25833333333333" style="176" customWidth="1"/>
    <col min="3340" max="3340" width="13.7583333333333" style="176" customWidth="1"/>
    <col min="3341" max="3346" width="8.375" style="176" customWidth="1"/>
    <col min="3347" max="3358" width="19.875" style="176" customWidth="1"/>
    <col min="3359" max="3359" width="5.625" style="176" customWidth="1"/>
    <col min="3360" max="3584" width="9" style="176" hidden="1"/>
    <col min="3585" max="3585" width="3.875" style="176" customWidth="1"/>
    <col min="3586" max="3586" width="8.625" style="176" customWidth="1"/>
    <col min="3587" max="3587" width="21.125" style="176" customWidth="1"/>
    <col min="3588" max="3588" width="8.125" style="176" customWidth="1"/>
    <col min="3589" max="3589" width="6.25833333333333" style="176" customWidth="1"/>
    <col min="3590" max="3590" width="13.7583333333333" style="176" customWidth="1"/>
    <col min="3591" max="3594" width="8.375" style="176" customWidth="1"/>
    <col min="3595" max="3595" width="6.25833333333333" style="176" customWidth="1"/>
    <col min="3596" max="3596" width="13.7583333333333" style="176" customWidth="1"/>
    <col min="3597" max="3602" width="8.375" style="176" customWidth="1"/>
    <col min="3603" max="3614" width="19.875" style="176" customWidth="1"/>
    <col min="3615" max="3615" width="5.625" style="176" customWidth="1"/>
    <col min="3616" max="3840" width="9" style="176" hidden="1"/>
    <col min="3841" max="3841" width="3.875" style="176" customWidth="1"/>
    <col min="3842" max="3842" width="8.625" style="176" customWidth="1"/>
    <col min="3843" max="3843" width="21.125" style="176" customWidth="1"/>
    <col min="3844" max="3844" width="8.125" style="176" customWidth="1"/>
    <col min="3845" max="3845" width="6.25833333333333" style="176" customWidth="1"/>
    <col min="3846" max="3846" width="13.7583333333333" style="176" customWidth="1"/>
    <col min="3847" max="3850" width="8.375" style="176" customWidth="1"/>
    <col min="3851" max="3851" width="6.25833333333333" style="176" customWidth="1"/>
    <col min="3852" max="3852" width="13.7583333333333" style="176" customWidth="1"/>
    <col min="3853" max="3858" width="8.375" style="176" customWidth="1"/>
    <col min="3859" max="3870" width="19.875" style="176" customWidth="1"/>
    <col min="3871" max="3871" width="5.625" style="176" customWidth="1"/>
    <col min="3872" max="4096" width="9" style="176" hidden="1"/>
    <col min="4097" max="4097" width="3.875" style="176" customWidth="1"/>
    <col min="4098" max="4098" width="8.625" style="176" customWidth="1"/>
    <col min="4099" max="4099" width="21.125" style="176" customWidth="1"/>
    <col min="4100" max="4100" width="8.125" style="176" customWidth="1"/>
    <col min="4101" max="4101" width="6.25833333333333" style="176" customWidth="1"/>
    <col min="4102" max="4102" width="13.7583333333333" style="176" customWidth="1"/>
    <col min="4103" max="4106" width="8.375" style="176" customWidth="1"/>
    <col min="4107" max="4107" width="6.25833333333333" style="176" customWidth="1"/>
    <col min="4108" max="4108" width="13.7583333333333" style="176" customWidth="1"/>
    <col min="4109" max="4114" width="8.375" style="176" customWidth="1"/>
    <col min="4115" max="4126" width="19.875" style="176" customWidth="1"/>
    <col min="4127" max="4127" width="5.625" style="176" customWidth="1"/>
    <col min="4128" max="4352" width="9" style="176" hidden="1"/>
    <col min="4353" max="4353" width="3.875" style="176" customWidth="1"/>
    <col min="4354" max="4354" width="8.625" style="176" customWidth="1"/>
    <col min="4355" max="4355" width="21.125" style="176" customWidth="1"/>
    <col min="4356" max="4356" width="8.125" style="176" customWidth="1"/>
    <col min="4357" max="4357" width="6.25833333333333" style="176" customWidth="1"/>
    <col min="4358" max="4358" width="13.7583333333333" style="176" customWidth="1"/>
    <col min="4359" max="4362" width="8.375" style="176" customWidth="1"/>
    <col min="4363" max="4363" width="6.25833333333333" style="176" customWidth="1"/>
    <col min="4364" max="4364" width="13.7583333333333" style="176" customWidth="1"/>
    <col min="4365" max="4370" width="8.375" style="176" customWidth="1"/>
    <col min="4371" max="4382" width="19.875" style="176" customWidth="1"/>
    <col min="4383" max="4383" width="5.625" style="176" customWidth="1"/>
    <col min="4384" max="4608" width="9" style="176" hidden="1"/>
    <col min="4609" max="4609" width="3.875" style="176" customWidth="1"/>
    <col min="4610" max="4610" width="8.625" style="176" customWidth="1"/>
    <col min="4611" max="4611" width="21.125" style="176" customWidth="1"/>
    <col min="4612" max="4612" width="8.125" style="176" customWidth="1"/>
    <col min="4613" max="4613" width="6.25833333333333" style="176" customWidth="1"/>
    <col min="4614" max="4614" width="13.7583333333333" style="176" customWidth="1"/>
    <col min="4615" max="4618" width="8.375" style="176" customWidth="1"/>
    <col min="4619" max="4619" width="6.25833333333333" style="176" customWidth="1"/>
    <col min="4620" max="4620" width="13.7583333333333" style="176" customWidth="1"/>
    <col min="4621" max="4626" width="8.375" style="176" customWidth="1"/>
    <col min="4627" max="4638" width="19.875" style="176" customWidth="1"/>
    <col min="4639" max="4639" width="5.625" style="176" customWidth="1"/>
    <col min="4640" max="4864" width="9" style="176" hidden="1"/>
    <col min="4865" max="4865" width="3.875" style="176" customWidth="1"/>
    <col min="4866" max="4866" width="8.625" style="176" customWidth="1"/>
    <col min="4867" max="4867" width="21.125" style="176" customWidth="1"/>
    <col min="4868" max="4868" width="8.125" style="176" customWidth="1"/>
    <col min="4869" max="4869" width="6.25833333333333" style="176" customWidth="1"/>
    <col min="4870" max="4870" width="13.7583333333333" style="176" customWidth="1"/>
    <col min="4871" max="4874" width="8.375" style="176" customWidth="1"/>
    <col min="4875" max="4875" width="6.25833333333333" style="176" customWidth="1"/>
    <col min="4876" max="4876" width="13.7583333333333" style="176" customWidth="1"/>
    <col min="4877" max="4882" width="8.375" style="176" customWidth="1"/>
    <col min="4883" max="4894" width="19.875" style="176" customWidth="1"/>
    <col min="4895" max="4895" width="5.625" style="176" customWidth="1"/>
    <col min="4896" max="5120" width="9" style="176" hidden="1"/>
    <col min="5121" max="5121" width="3.875" style="176" customWidth="1"/>
    <col min="5122" max="5122" width="8.625" style="176" customWidth="1"/>
    <col min="5123" max="5123" width="21.125" style="176" customWidth="1"/>
    <col min="5124" max="5124" width="8.125" style="176" customWidth="1"/>
    <col min="5125" max="5125" width="6.25833333333333" style="176" customWidth="1"/>
    <col min="5126" max="5126" width="13.7583333333333" style="176" customWidth="1"/>
    <col min="5127" max="5130" width="8.375" style="176" customWidth="1"/>
    <col min="5131" max="5131" width="6.25833333333333" style="176" customWidth="1"/>
    <col min="5132" max="5132" width="13.7583333333333" style="176" customWidth="1"/>
    <col min="5133" max="5138" width="8.375" style="176" customWidth="1"/>
    <col min="5139" max="5150" width="19.875" style="176" customWidth="1"/>
    <col min="5151" max="5151" width="5.625" style="176" customWidth="1"/>
    <col min="5152" max="5376" width="9" style="176" hidden="1"/>
    <col min="5377" max="5377" width="3.875" style="176" customWidth="1"/>
    <col min="5378" max="5378" width="8.625" style="176" customWidth="1"/>
    <col min="5379" max="5379" width="21.125" style="176" customWidth="1"/>
    <col min="5380" max="5380" width="8.125" style="176" customWidth="1"/>
    <col min="5381" max="5381" width="6.25833333333333" style="176" customWidth="1"/>
    <col min="5382" max="5382" width="13.7583333333333" style="176" customWidth="1"/>
    <col min="5383" max="5386" width="8.375" style="176" customWidth="1"/>
    <col min="5387" max="5387" width="6.25833333333333" style="176" customWidth="1"/>
    <col min="5388" max="5388" width="13.7583333333333" style="176" customWidth="1"/>
    <col min="5389" max="5394" width="8.375" style="176" customWidth="1"/>
    <col min="5395" max="5406" width="19.875" style="176" customWidth="1"/>
    <col min="5407" max="5407" width="5.625" style="176" customWidth="1"/>
    <col min="5408" max="5632" width="9" style="176" hidden="1"/>
    <col min="5633" max="5633" width="3.875" style="176" customWidth="1"/>
    <col min="5634" max="5634" width="8.625" style="176" customWidth="1"/>
    <col min="5635" max="5635" width="21.125" style="176" customWidth="1"/>
    <col min="5636" max="5636" width="8.125" style="176" customWidth="1"/>
    <col min="5637" max="5637" width="6.25833333333333" style="176" customWidth="1"/>
    <col min="5638" max="5638" width="13.7583333333333" style="176" customWidth="1"/>
    <col min="5639" max="5642" width="8.375" style="176" customWidth="1"/>
    <col min="5643" max="5643" width="6.25833333333333" style="176" customWidth="1"/>
    <col min="5644" max="5644" width="13.7583333333333" style="176" customWidth="1"/>
    <col min="5645" max="5650" width="8.375" style="176" customWidth="1"/>
    <col min="5651" max="5662" width="19.875" style="176" customWidth="1"/>
    <col min="5663" max="5663" width="5.625" style="176" customWidth="1"/>
    <col min="5664" max="5888" width="9" style="176" hidden="1"/>
    <col min="5889" max="5889" width="3.875" style="176" customWidth="1"/>
    <col min="5890" max="5890" width="8.625" style="176" customWidth="1"/>
    <col min="5891" max="5891" width="21.125" style="176" customWidth="1"/>
    <col min="5892" max="5892" width="8.125" style="176" customWidth="1"/>
    <col min="5893" max="5893" width="6.25833333333333" style="176" customWidth="1"/>
    <col min="5894" max="5894" width="13.7583333333333" style="176" customWidth="1"/>
    <col min="5895" max="5898" width="8.375" style="176" customWidth="1"/>
    <col min="5899" max="5899" width="6.25833333333333" style="176" customWidth="1"/>
    <col min="5900" max="5900" width="13.7583333333333" style="176" customWidth="1"/>
    <col min="5901" max="5906" width="8.375" style="176" customWidth="1"/>
    <col min="5907" max="5918" width="19.875" style="176" customWidth="1"/>
    <col min="5919" max="5919" width="5.625" style="176" customWidth="1"/>
    <col min="5920" max="6144" width="9" style="176" hidden="1"/>
    <col min="6145" max="6145" width="3.875" style="176" customWidth="1"/>
    <col min="6146" max="6146" width="8.625" style="176" customWidth="1"/>
    <col min="6147" max="6147" width="21.125" style="176" customWidth="1"/>
    <col min="6148" max="6148" width="8.125" style="176" customWidth="1"/>
    <col min="6149" max="6149" width="6.25833333333333" style="176" customWidth="1"/>
    <col min="6150" max="6150" width="13.7583333333333" style="176" customWidth="1"/>
    <col min="6151" max="6154" width="8.375" style="176" customWidth="1"/>
    <col min="6155" max="6155" width="6.25833333333333" style="176" customWidth="1"/>
    <col min="6156" max="6156" width="13.7583333333333" style="176" customWidth="1"/>
    <col min="6157" max="6162" width="8.375" style="176" customWidth="1"/>
    <col min="6163" max="6174" width="19.875" style="176" customWidth="1"/>
    <col min="6175" max="6175" width="5.625" style="176" customWidth="1"/>
    <col min="6176" max="6400" width="9" style="176" hidden="1"/>
    <col min="6401" max="6401" width="3.875" style="176" customWidth="1"/>
    <col min="6402" max="6402" width="8.625" style="176" customWidth="1"/>
    <col min="6403" max="6403" width="21.125" style="176" customWidth="1"/>
    <col min="6404" max="6404" width="8.125" style="176" customWidth="1"/>
    <col min="6405" max="6405" width="6.25833333333333" style="176" customWidth="1"/>
    <col min="6406" max="6406" width="13.7583333333333" style="176" customWidth="1"/>
    <col min="6407" max="6410" width="8.375" style="176" customWidth="1"/>
    <col min="6411" max="6411" width="6.25833333333333" style="176" customWidth="1"/>
    <col min="6412" max="6412" width="13.7583333333333" style="176" customWidth="1"/>
    <col min="6413" max="6418" width="8.375" style="176" customWidth="1"/>
    <col min="6419" max="6430" width="19.875" style="176" customWidth="1"/>
    <col min="6431" max="6431" width="5.625" style="176" customWidth="1"/>
    <col min="6432" max="6656" width="9" style="176" hidden="1"/>
    <col min="6657" max="6657" width="3.875" style="176" customWidth="1"/>
    <col min="6658" max="6658" width="8.625" style="176" customWidth="1"/>
    <col min="6659" max="6659" width="21.125" style="176" customWidth="1"/>
    <col min="6660" max="6660" width="8.125" style="176" customWidth="1"/>
    <col min="6661" max="6661" width="6.25833333333333" style="176" customWidth="1"/>
    <col min="6662" max="6662" width="13.7583333333333" style="176" customWidth="1"/>
    <col min="6663" max="6666" width="8.375" style="176" customWidth="1"/>
    <col min="6667" max="6667" width="6.25833333333333" style="176" customWidth="1"/>
    <col min="6668" max="6668" width="13.7583333333333" style="176" customWidth="1"/>
    <col min="6669" max="6674" width="8.375" style="176" customWidth="1"/>
    <col min="6675" max="6686" width="19.875" style="176" customWidth="1"/>
    <col min="6687" max="6687" width="5.625" style="176" customWidth="1"/>
    <col min="6688" max="6912" width="9" style="176" hidden="1"/>
    <col min="6913" max="6913" width="3.875" style="176" customWidth="1"/>
    <col min="6914" max="6914" width="8.625" style="176" customWidth="1"/>
    <col min="6915" max="6915" width="21.125" style="176" customWidth="1"/>
    <col min="6916" max="6916" width="8.125" style="176" customWidth="1"/>
    <col min="6917" max="6917" width="6.25833333333333" style="176" customWidth="1"/>
    <col min="6918" max="6918" width="13.7583333333333" style="176" customWidth="1"/>
    <col min="6919" max="6922" width="8.375" style="176" customWidth="1"/>
    <col min="6923" max="6923" width="6.25833333333333" style="176" customWidth="1"/>
    <col min="6924" max="6924" width="13.7583333333333" style="176" customWidth="1"/>
    <col min="6925" max="6930" width="8.375" style="176" customWidth="1"/>
    <col min="6931" max="6942" width="19.875" style="176" customWidth="1"/>
    <col min="6943" max="6943" width="5.625" style="176" customWidth="1"/>
    <col min="6944" max="7168" width="9" style="176" hidden="1"/>
    <col min="7169" max="7169" width="3.875" style="176" customWidth="1"/>
    <col min="7170" max="7170" width="8.625" style="176" customWidth="1"/>
    <col min="7171" max="7171" width="21.125" style="176" customWidth="1"/>
    <col min="7172" max="7172" width="8.125" style="176" customWidth="1"/>
    <col min="7173" max="7173" width="6.25833333333333" style="176" customWidth="1"/>
    <col min="7174" max="7174" width="13.7583333333333" style="176" customWidth="1"/>
    <col min="7175" max="7178" width="8.375" style="176" customWidth="1"/>
    <col min="7179" max="7179" width="6.25833333333333" style="176" customWidth="1"/>
    <col min="7180" max="7180" width="13.7583333333333" style="176" customWidth="1"/>
    <col min="7181" max="7186" width="8.375" style="176" customWidth="1"/>
    <col min="7187" max="7198" width="19.875" style="176" customWidth="1"/>
    <col min="7199" max="7199" width="5.625" style="176" customWidth="1"/>
    <col min="7200" max="7424" width="9" style="176" hidden="1"/>
    <col min="7425" max="7425" width="3.875" style="176" customWidth="1"/>
    <col min="7426" max="7426" width="8.625" style="176" customWidth="1"/>
    <col min="7427" max="7427" width="21.125" style="176" customWidth="1"/>
    <col min="7428" max="7428" width="8.125" style="176" customWidth="1"/>
    <col min="7429" max="7429" width="6.25833333333333" style="176" customWidth="1"/>
    <col min="7430" max="7430" width="13.7583333333333" style="176" customWidth="1"/>
    <col min="7431" max="7434" width="8.375" style="176" customWidth="1"/>
    <col min="7435" max="7435" width="6.25833333333333" style="176" customWidth="1"/>
    <col min="7436" max="7436" width="13.7583333333333" style="176" customWidth="1"/>
    <col min="7437" max="7442" width="8.375" style="176" customWidth="1"/>
    <col min="7443" max="7454" width="19.875" style="176" customWidth="1"/>
    <col min="7455" max="7455" width="5.625" style="176" customWidth="1"/>
    <col min="7456" max="7680" width="9" style="176" hidden="1"/>
    <col min="7681" max="7681" width="3.875" style="176" customWidth="1"/>
    <col min="7682" max="7682" width="8.625" style="176" customWidth="1"/>
    <col min="7683" max="7683" width="21.125" style="176" customWidth="1"/>
    <col min="7684" max="7684" width="8.125" style="176" customWidth="1"/>
    <col min="7685" max="7685" width="6.25833333333333" style="176" customWidth="1"/>
    <col min="7686" max="7686" width="13.7583333333333" style="176" customWidth="1"/>
    <col min="7687" max="7690" width="8.375" style="176" customWidth="1"/>
    <col min="7691" max="7691" width="6.25833333333333" style="176" customWidth="1"/>
    <col min="7692" max="7692" width="13.7583333333333" style="176" customWidth="1"/>
    <col min="7693" max="7698" width="8.375" style="176" customWidth="1"/>
    <col min="7699" max="7710" width="19.875" style="176" customWidth="1"/>
    <col min="7711" max="7711" width="5.625" style="176" customWidth="1"/>
    <col min="7712" max="7936" width="9" style="176" hidden="1"/>
    <col min="7937" max="7937" width="3.875" style="176" customWidth="1"/>
    <col min="7938" max="7938" width="8.625" style="176" customWidth="1"/>
    <col min="7939" max="7939" width="21.125" style="176" customWidth="1"/>
    <col min="7940" max="7940" width="8.125" style="176" customWidth="1"/>
    <col min="7941" max="7941" width="6.25833333333333" style="176" customWidth="1"/>
    <col min="7942" max="7942" width="13.7583333333333" style="176" customWidth="1"/>
    <col min="7943" max="7946" width="8.375" style="176" customWidth="1"/>
    <col min="7947" max="7947" width="6.25833333333333" style="176" customWidth="1"/>
    <col min="7948" max="7948" width="13.7583333333333" style="176" customWidth="1"/>
    <col min="7949" max="7954" width="8.375" style="176" customWidth="1"/>
    <col min="7955" max="7966" width="19.875" style="176" customWidth="1"/>
    <col min="7967" max="7967" width="5.625" style="176" customWidth="1"/>
    <col min="7968" max="8192" width="9" style="176" hidden="1"/>
    <col min="8193" max="8193" width="3.875" style="176" customWidth="1"/>
    <col min="8194" max="8194" width="8.625" style="176" customWidth="1"/>
    <col min="8195" max="8195" width="21.125" style="176" customWidth="1"/>
    <col min="8196" max="8196" width="8.125" style="176" customWidth="1"/>
    <col min="8197" max="8197" width="6.25833333333333" style="176" customWidth="1"/>
    <col min="8198" max="8198" width="13.7583333333333" style="176" customWidth="1"/>
    <col min="8199" max="8202" width="8.375" style="176" customWidth="1"/>
    <col min="8203" max="8203" width="6.25833333333333" style="176" customWidth="1"/>
    <col min="8204" max="8204" width="13.7583333333333" style="176" customWidth="1"/>
    <col min="8205" max="8210" width="8.375" style="176" customWidth="1"/>
    <col min="8211" max="8222" width="19.875" style="176" customWidth="1"/>
    <col min="8223" max="8223" width="5.625" style="176" customWidth="1"/>
    <col min="8224" max="8448" width="9" style="176" hidden="1"/>
    <col min="8449" max="8449" width="3.875" style="176" customWidth="1"/>
    <col min="8450" max="8450" width="8.625" style="176" customWidth="1"/>
    <col min="8451" max="8451" width="21.125" style="176" customWidth="1"/>
    <col min="8452" max="8452" width="8.125" style="176" customWidth="1"/>
    <col min="8453" max="8453" width="6.25833333333333" style="176" customWidth="1"/>
    <col min="8454" max="8454" width="13.7583333333333" style="176" customWidth="1"/>
    <col min="8455" max="8458" width="8.375" style="176" customWidth="1"/>
    <col min="8459" max="8459" width="6.25833333333333" style="176" customWidth="1"/>
    <col min="8460" max="8460" width="13.7583333333333" style="176" customWidth="1"/>
    <col min="8461" max="8466" width="8.375" style="176" customWidth="1"/>
    <col min="8467" max="8478" width="19.875" style="176" customWidth="1"/>
    <col min="8479" max="8479" width="5.625" style="176" customWidth="1"/>
    <col min="8480" max="8704" width="9" style="176" hidden="1"/>
    <col min="8705" max="8705" width="3.875" style="176" customWidth="1"/>
    <col min="8706" max="8706" width="8.625" style="176" customWidth="1"/>
    <col min="8707" max="8707" width="21.125" style="176" customWidth="1"/>
    <col min="8708" max="8708" width="8.125" style="176" customWidth="1"/>
    <col min="8709" max="8709" width="6.25833333333333" style="176" customWidth="1"/>
    <col min="8710" max="8710" width="13.7583333333333" style="176" customWidth="1"/>
    <col min="8711" max="8714" width="8.375" style="176" customWidth="1"/>
    <col min="8715" max="8715" width="6.25833333333333" style="176" customWidth="1"/>
    <col min="8716" max="8716" width="13.7583333333333" style="176" customWidth="1"/>
    <col min="8717" max="8722" width="8.375" style="176" customWidth="1"/>
    <col min="8723" max="8734" width="19.875" style="176" customWidth="1"/>
    <col min="8735" max="8735" width="5.625" style="176" customWidth="1"/>
    <col min="8736" max="8960" width="9" style="176" hidden="1"/>
    <col min="8961" max="8961" width="3.875" style="176" customWidth="1"/>
    <col min="8962" max="8962" width="8.625" style="176" customWidth="1"/>
    <col min="8963" max="8963" width="21.125" style="176" customWidth="1"/>
    <col min="8964" max="8964" width="8.125" style="176" customWidth="1"/>
    <col min="8965" max="8965" width="6.25833333333333" style="176" customWidth="1"/>
    <col min="8966" max="8966" width="13.7583333333333" style="176" customWidth="1"/>
    <col min="8967" max="8970" width="8.375" style="176" customWidth="1"/>
    <col min="8971" max="8971" width="6.25833333333333" style="176" customWidth="1"/>
    <col min="8972" max="8972" width="13.7583333333333" style="176" customWidth="1"/>
    <col min="8973" max="8978" width="8.375" style="176" customWidth="1"/>
    <col min="8979" max="8990" width="19.875" style="176" customWidth="1"/>
    <col min="8991" max="8991" width="5.625" style="176" customWidth="1"/>
    <col min="8992" max="9216" width="9" style="176" hidden="1"/>
    <col min="9217" max="9217" width="3.875" style="176" customWidth="1"/>
    <col min="9218" max="9218" width="8.625" style="176" customWidth="1"/>
    <col min="9219" max="9219" width="21.125" style="176" customWidth="1"/>
    <col min="9220" max="9220" width="8.125" style="176" customWidth="1"/>
    <col min="9221" max="9221" width="6.25833333333333" style="176" customWidth="1"/>
    <col min="9222" max="9222" width="13.7583333333333" style="176" customWidth="1"/>
    <col min="9223" max="9226" width="8.375" style="176" customWidth="1"/>
    <col min="9227" max="9227" width="6.25833333333333" style="176" customWidth="1"/>
    <col min="9228" max="9228" width="13.7583333333333" style="176" customWidth="1"/>
    <col min="9229" max="9234" width="8.375" style="176" customWidth="1"/>
    <col min="9235" max="9246" width="19.875" style="176" customWidth="1"/>
    <col min="9247" max="9247" width="5.625" style="176" customWidth="1"/>
    <col min="9248" max="9472" width="9" style="176" hidden="1"/>
    <col min="9473" max="9473" width="3.875" style="176" customWidth="1"/>
    <col min="9474" max="9474" width="8.625" style="176" customWidth="1"/>
    <col min="9475" max="9475" width="21.125" style="176" customWidth="1"/>
    <col min="9476" max="9476" width="8.125" style="176" customWidth="1"/>
    <col min="9477" max="9477" width="6.25833333333333" style="176" customWidth="1"/>
    <col min="9478" max="9478" width="13.7583333333333" style="176" customWidth="1"/>
    <col min="9479" max="9482" width="8.375" style="176" customWidth="1"/>
    <col min="9483" max="9483" width="6.25833333333333" style="176" customWidth="1"/>
    <col min="9484" max="9484" width="13.7583333333333" style="176" customWidth="1"/>
    <col min="9485" max="9490" width="8.375" style="176" customWidth="1"/>
    <col min="9491" max="9502" width="19.875" style="176" customWidth="1"/>
    <col min="9503" max="9503" width="5.625" style="176" customWidth="1"/>
    <col min="9504" max="9728" width="9" style="176" hidden="1"/>
    <col min="9729" max="9729" width="3.875" style="176" customWidth="1"/>
    <col min="9730" max="9730" width="8.625" style="176" customWidth="1"/>
    <col min="9731" max="9731" width="21.125" style="176" customWidth="1"/>
    <col min="9732" max="9732" width="8.125" style="176" customWidth="1"/>
    <col min="9733" max="9733" width="6.25833333333333" style="176" customWidth="1"/>
    <col min="9734" max="9734" width="13.7583333333333" style="176" customWidth="1"/>
    <col min="9735" max="9738" width="8.375" style="176" customWidth="1"/>
    <col min="9739" max="9739" width="6.25833333333333" style="176" customWidth="1"/>
    <col min="9740" max="9740" width="13.7583333333333" style="176" customWidth="1"/>
    <col min="9741" max="9746" width="8.375" style="176" customWidth="1"/>
    <col min="9747" max="9758" width="19.875" style="176" customWidth="1"/>
    <col min="9759" max="9759" width="5.625" style="176" customWidth="1"/>
    <col min="9760" max="9984" width="9" style="176" hidden="1"/>
    <col min="9985" max="9985" width="3.875" style="176" customWidth="1"/>
    <col min="9986" max="9986" width="8.625" style="176" customWidth="1"/>
    <col min="9987" max="9987" width="21.125" style="176" customWidth="1"/>
    <col min="9988" max="9988" width="8.125" style="176" customWidth="1"/>
    <col min="9989" max="9989" width="6.25833333333333" style="176" customWidth="1"/>
    <col min="9990" max="9990" width="13.7583333333333" style="176" customWidth="1"/>
    <col min="9991" max="9994" width="8.375" style="176" customWidth="1"/>
    <col min="9995" max="9995" width="6.25833333333333" style="176" customWidth="1"/>
    <col min="9996" max="9996" width="13.7583333333333" style="176" customWidth="1"/>
    <col min="9997" max="10002" width="8.375" style="176" customWidth="1"/>
    <col min="10003" max="10014" width="19.875" style="176" customWidth="1"/>
    <col min="10015" max="10015" width="5.625" style="176" customWidth="1"/>
    <col min="10016" max="10240" width="9" style="176" hidden="1"/>
    <col min="10241" max="10241" width="3.875" style="176" customWidth="1"/>
    <col min="10242" max="10242" width="8.625" style="176" customWidth="1"/>
    <col min="10243" max="10243" width="21.125" style="176" customWidth="1"/>
    <col min="10244" max="10244" width="8.125" style="176" customWidth="1"/>
    <col min="10245" max="10245" width="6.25833333333333" style="176" customWidth="1"/>
    <col min="10246" max="10246" width="13.7583333333333" style="176" customWidth="1"/>
    <col min="10247" max="10250" width="8.375" style="176" customWidth="1"/>
    <col min="10251" max="10251" width="6.25833333333333" style="176" customWidth="1"/>
    <col min="10252" max="10252" width="13.7583333333333" style="176" customWidth="1"/>
    <col min="10253" max="10258" width="8.375" style="176" customWidth="1"/>
    <col min="10259" max="10270" width="19.875" style="176" customWidth="1"/>
    <col min="10271" max="10271" width="5.625" style="176" customWidth="1"/>
    <col min="10272" max="10496" width="9" style="176" hidden="1"/>
    <col min="10497" max="10497" width="3.875" style="176" customWidth="1"/>
    <col min="10498" max="10498" width="8.625" style="176" customWidth="1"/>
    <col min="10499" max="10499" width="21.125" style="176" customWidth="1"/>
    <col min="10500" max="10500" width="8.125" style="176" customWidth="1"/>
    <col min="10501" max="10501" width="6.25833333333333" style="176" customWidth="1"/>
    <col min="10502" max="10502" width="13.7583333333333" style="176" customWidth="1"/>
    <col min="10503" max="10506" width="8.375" style="176" customWidth="1"/>
    <col min="10507" max="10507" width="6.25833333333333" style="176" customWidth="1"/>
    <col min="10508" max="10508" width="13.7583333333333" style="176" customWidth="1"/>
    <col min="10509" max="10514" width="8.375" style="176" customWidth="1"/>
    <col min="10515" max="10526" width="19.875" style="176" customWidth="1"/>
    <col min="10527" max="10527" width="5.625" style="176" customWidth="1"/>
    <col min="10528" max="10752" width="9" style="176" hidden="1"/>
    <col min="10753" max="10753" width="3.875" style="176" customWidth="1"/>
    <col min="10754" max="10754" width="8.625" style="176" customWidth="1"/>
    <col min="10755" max="10755" width="21.125" style="176" customWidth="1"/>
    <col min="10756" max="10756" width="8.125" style="176" customWidth="1"/>
    <col min="10757" max="10757" width="6.25833333333333" style="176" customWidth="1"/>
    <col min="10758" max="10758" width="13.7583333333333" style="176" customWidth="1"/>
    <col min="10759" max="10762" width="8.375" style="176" customWidth="1"/>
    <col min="10763" max="10763" width="6.25833333333333" style="176" customWidth="1"/>
    <col min="10764" max="10764" width="13.7583333333333" style="176" customWidth="1"/>
    <col min="10765" max="10770" width="8.375" style="176" customWidth="1"/>
    <col min="10771" max="10782" width="19.875" style="176" customWidth="1"/>
    <col min="10783" max="10783" width="5.625" style="176" customWidth="1"/>
    <col min="10784" max="11008" width="9" style="176" hidden="1"/>
    <col min="11009" max="11009" width="3.875" style="176" customWidth="1"/>
    <col min="11010" max="11010" width="8.625" style="176" customWidth="1"/>
    <col min="11011" max="11011" width="21.125" style="176" customWidth="1"/>
    <col min="11012" max="11012" width="8.125" style="176" customWidth="1"/>
    <col min="11013" max="11013" width="6.25833333333333" style="176" customWidth="1"/>
    <col min="11014" max="11014" width="13.7583333333333" style="176" customWidth="1"/>
    <col min="11015" max="11018" width="8.375" style="176" customWidth="1"/>
    <col min="11019" max="11019" width="6.25833333333333" style="176" customWidth="1"/>
    <col min="11020" max="11020" width="13.7583333333333" style="176" customWidth="1"/>
    <col min="11021" max="11026" width="8.375" style="176" customWidth="1"/>
    <col min="11027" max="11038" width="19.875" style="176" customWidth="1"/>
    <col min="11039" max="11039" width="5.625" style="176" customWidth="1"/>
    <col min="11040" max="11264" width="9" style="176" hidden="1"/>
    <col min="11265" max="11265" width="3.875" style="176" customWidth="1"/>
    <col min="11266" max="11266" width="8.625" style="176" customWidth="1"/>
    <col min="11267" max="11267" width="21.125" style="176" customWidth="1"/>
    <col min="11268" max="11268" width="8.125" style="176" customWidth="1"/>
    <col min="11269" max="11269" width="6.25833333333333" style="176" customWidth="1"/>
    <col min="11270" max="11270" width="13.7583333333333" style="176" customWidth="1"/>
    <col min="11271" max="11274" width="8.375" style="176" customWidth="1"/>
    <col min="11275" max="11275" width="6.25833333333333" style="176" customWidth="1"/>
    <col min="11276" max="11276" width="13.7583333333333" style="176" customWidth="1"/>
    <col min="11277" max="11282" width="8.375" style="176" customWidth="1"/>
    <col min="11283" max="11294" width="19.875" style="176" customWidth="1"/>
    <col min="11295" max="11295" width="5.625" style="176" customWidth="1"/>
    <col min="11296" max="11520" width="9" style="176" hidden="1"/>
    <col min="11521" max="11521" width="3.875" style="176" customWidth="1"/>
    <col min="11522" max="11522" width="8.625" style="176" customWidth="1"/>
    <col min="11523" max="11523" width="21.125" style="176" customWidth="1"/>
    <col min="11524" max="11524" width="8.125" style="176" customWidth="1"/>
    <col min="11525" max="11525" width="6.25833333333333" style="176" customWidth="1"/>
    <col min="11526" max="11526" width="13.7583333333333" style="176" customWidth="1"/>
    <col min="11527" max="11530" width="8.375" style="176" customWidth="1"/>
    <col min="11531" max="11531" width="6.25833333333333" style="176" customWidth="1"/>
    <col min="11532" max="11532" width="13.7583333333333" style="176" customWidth="1"/>
    <col min="11533" max="11538" width="8.375" style="176" customWidth="1"/>
    <col min="11539" max="11550" width="19.875" style="176" customWidth="1"/>
    <col min="11551" max="11551" width="5.625" style="176" customWidth="1"/>
    <col min="11552" max="11776" width="9" style="176" hidden="1"/>
    <col min="11777" max="11777" width="3.875" style="176" customWidth="1"/>
    <col min="11778" max="11778" width="8.625" style="176" customWidth="1"/>
    <col min="11779" max="11779" width="21.125" style="176" customWidth="1"/>
    <col min="11780" max="11780" width="8.125" style="176" customWidth="1"/>
    <col min="11781" max="11781" width="6.25833333333333" style="176" customWidth="1"/>
    <col min="11782" max="11782" width="13.7583333333333" style="176" customWidth="1"/>
    <col min="11783" max="11786" width="8.375" style="176" customWidth="1"/>
    <col min="11787" max="11787" width="6.25833333333333" style="176" customWidth="1"/>
    <col min="11788" max="11788" width="13.7583333333333" style="176" customWidth="1"/>
    <col min="11789" max="11794" width="8.375" style="176" customWidth="1"/>
    <col min="11795" max="11806" width="19.875" style="176" customWidth="1"/>
    <col min="11807" max="11807" width="5.625" style="176" customWidth="1"/>
    <col min="11808" max="12032" width="9" style="176" hidden="1"/>
    <col min="12033" max="12033" width="3.875" style="176" customWidth="1"/>
    <col min="12034" max="12034" width="8.625" style="176" customWidth="1"/>
    <col min="12035" max="12035" width="21.125" style="176" customWidth="1"/>
    <col min="12036" max="12036" width="8.125" style="176" customWidth="1"/>
    <col min="12037" max="12037" width="6.25833333333333" style="176" customWidth="1"/>
    <col min="12038" max="12038" width="13.7583333333333" style="176" customWidth="1"/>
    <col min="12039" max="12042" width="8.375" style="176" customWidth="1"/>
    <col min="12043" max="12043" width="6.25833333333333" style="176" customWidth="1"/>
    <col min="12044" max="12044" width="13.7583333333333" style="176" customWidth="1"/>
    <col min="12045" max="12050" width="8.375" style="176" customWidth="1"/>
    <col min="12051" max="12062" width="19.875" style="176" customWidth="1"/>
    <col min="12063" max="12063" width="5.625" style="176" customWidth="1"/>
    <col min="12064" max="12288" width="9" style="176" hidden="1"/>
    <col min="12289" max="12289" width="3.875" style="176" customWidth="1"/>
    <col min="12290" max="12290" width="8.625" style="176" customWidth="1"/>
    <col min="12291" max="12291" width="21.125" style="176" customWidth="1"/>
    <col min="12292" max="12292" width="8.125" style="176" customWidth="1"/>
    <col min="12293" max="12293" width="6.25833333333333" style="176" customWidth="1"/>
    <col min="12294" max="12294" width="13.7583333333333" style="176" customWidth="1"/>
    <col min="12295" max="12298" width="8.375" style="176" customWidth="1"/>
    <col min="12299" max="12299" width="6.25833333333333" style="176" customWidth="1"/>
    <col min="12300" max="12300" width="13.7583333333333" style="176" customWidth="1"/>
    <col min="12301" max="12306" width="8.375" style="176" customWidth="1"/>
    <col min="12307" max="12318" width="19.875" style="176" customWidth="1"/>
    <col min="12319" max="12319" width="5.625" style="176" customWidth="1"/>
    <col min="12320" max="12544" width="9" style="176" hidden="1"/>
    <col min="12545" max="12545" width="3.875" style="176" customWidth="1"/>
    <col min="12546" max="12546" width="8.625" style="176" customWidth="1"/>
    <col min="12547" max="12547" width="21.125" style="176" customWidth="1"/>
    <col min="12548" max="12548" width="8.125" style="176" customWidth="1"/>
    <col min="12549" max="12549" width="6.25833333333333" style="176" customWidth="1"/>
    <col min="12550" max="12550" width="13.7583333333333" style="176" customWidth="1"/>
    <col min="12551" max="12554" width="8.375" style="176" customWidth="1"/>
    <col min="12555" max="12555" width="6.25833333333333" style="176" customWidth="1"/>
    <col min="12556" max="12556" width="13.7583333333333" style="176" customWidth="1"/>
    <col min="12557" max="12562" width="8.375" style="176" customWidth="1"/>
    <col min="12563" max="12574" width="19.875" style="176" customWidth="1"/>
    <col min="12575" max="12575" width="5.625" style="176" customWidth="1"/>
    <col min="12576" max="12800" width="9" style="176" hidden="1"/>
    <col min="12801" max="12801" width="3.875" style="176" customWidth="1"/>
    <col min="12802" max="12802" width="8.625" style="176" customWidth="1"/>
    <col min="12803" max="12803" width="21.125" style="176" customWidth="1"/>
    <col min="12804" max="12804" width="8.125" style="176" customWidth="1"/>
    <col min="12805" max="12805" width="6.25833333333333" style="176" customWidth="1"/>
    <col min="12806" max="12806" width="13.7583333333333" style="176" customWidth="1"/>
    <col min="12807" max="12810" width="8.375" style="176" customWidth="1"/>
    <col min="12811" max="12811" width="6.25833333333333" style="176" customWidth="1"/>
    <col min="12812" max="12812" width="13.7583333333333" style="176" customWidth="1"/>
    <col min="12813" max="12818" width="8.375" style="176" customWidth="1"/>
    <col min="12819" max="12830" width="19.875" style="176" customWidth="1"/>
    <col min="12831" max="12831" width="5.625" style="176" customWidth="1"/>
    <col min="12832" max="13056" width="9" style="176" hidden="1"/>
    <col min="13057" max="13057" width="3.875" style="176" customWidth="1"/>
    <col min="13058" max="13058" width="8.625" style="176" customWidth="1"/>
    <col min="13059" max="13059" width="21.125" style="176" customWidth="1"/>
    <col min="13060" max="13060" width="8.125" style="176" customWidth="1"/>
    <col min="13061" max="13061" width="6.25833333333333" style="176" customWidth="1"/>
    <col min="13062" max="13062" width="13.7583333333333" style="176" customWidth="1"/>
    <col min="13063" max="13066" width="8.375" style="176" customWidth="1"/>
    <col min="13067" max="13067" width="6.25833333333333" style="176" customWidth="1"/>
    <col min="13068" max="13068" width="13.7583333333333" style="176" customWidth="1"/>
    <col min="13069" max="13074" width="8.375" style="176" customWidth="1"/>
    <col min="13075" max="13086" width="19.875" style="176" customWidth="1"/>
    <col min="13087" max="13087" width="5.625" style="176" customWidth="1"/>
    <col min="13088" max="13312" width="9" style="176" hidden="1"/>
    <col min="13313" max="13313" width="3.875" style="176" customWidth="1"/>
    <col min="13314" max="13314" width="8.625" style="176" customWidth="1"/>
    <col min="13315" max="13315" width="21.125" style="176" customWidth="1"/>
    <col min="13316" max="13316" width="8.125" style="176" customWidth="1"/>
    <col min="13317" max="13317" width="6.25833333333333" style="176" customWidth="1"/>
    <col min="13318" max="13318" width="13.7583333333333" style="176" customWidth="1"/>
    <col min="13319" max="13322" width="8.375" style="176" customWidth="1"/>
    <col min="13323" max="13323" width="6.25833333333333" style="176" customWidth="1"/>
    <col min="13324" max="13324" width="13.7583333333333" style="176" customWidth="1"/>
    <col min="13325" max="13330" width="8.375" style="176" customWidth="1"/>
    <col min="13331" max="13342" width="19.875" style="176" customWidth="1"/>
    <col min="13343" max="13343" width="5.625" style="176" customWidth="1"/>
    <col min="13344" max="13568" width="9" style="176" hidden="1"/>
    <col min="13569" max="13569" width="3.875" style="176" customWidth="1"/>
    <col min="13570" max="13570" width="8.625" style="176" customWidth="1"/>
    <col min="13571" max="13571" width="21.125" style="176" customWidth="1"/>
    <col min="13572" max="13572" width="8.125" style="176" customWidth="1"/>
    <col min="13573" max="13573" width="6.25833333333333" style="176" customWidth="1"/>
    <col min="13574" max="13574" width="13.7583333333333" style="176" customWidth="1"/>
    <col min="13575" max="13578" width="8.375" style="176" customWidth="1"/>
    <col min="13579" max="13579" width="6.25833333333333" style="176" customWidth="1"/>
    <col min="13580" max="13580" width="13.7583333333333" style="176" customWidth="1"/>
    <col min="13581" max="13586" width="8.375" style="176" customWidth="1"/>
    <col min="13587" max="13598" width="19.875" style="176" customWidth="1"/>
    <col min="13599" max="13599" width="5.625" style="176" customWidth="1"/>
    <col min="13600" max="13824" width="9" style="176" hidden="1"/>
    <col min="13825" max="13825" width="3.875" style="176" customWidth="1"/>
    <col min="13826" max="13826" width="8.625" style="176" customWidth="1"/>
    <col min="13827" max="13827" width="21.125" style="176" customWidth="1"/>
    <col min="13828" max="13828" width="8.125" style="176" customWidth="1"/>
    <col min="13829" max="13829" width="6.25833333333333" style="176" customWidth="1"/>
    <col min="13830" max="13830" width="13.7583333333333" style="176" customWidth="1"/>
    <col min="13831" max="13834" width="8.375" style="176" customWidth="1"/>
    <col min="13835" max="13835" width="6.25833333333333" style="176" customWidth="1"/>
    <col min="13836" max="13836" width="13.7583333333333" style="176" customWidth="1"/>
    <col min="13837" max="13842" width="8.375" style="176" customWidth="1"/>
    <col min="13843" max="13854" width="19.875" style="176" customWidth="1"/>
    <col min="13855" max="13855" width="5.625" style="176" customWidth="1"/>
    <col min="13856" max="14080" width="9" style="176" hidden="1"/>
    <col min="14081" max="14081" width="3.875" style="176" customWidth="1"/>
    <col min="14082" max="14082" width="8.625" style="176" customWidth="1"/>
    <col min="14083" max="14083" width="21.125" style="176" customWidth="1"/>
    <col min="14084" max="14084" width="8.125" style="176" customWidth="1"/>
    <col min="14085" max="14085" width="6.25833333333333" style="176" customWidth="1"/>
    <col min="14086" max="14086" width="13.7583333333333" style="176" customWidth="1"/>
    <col min="14087" max="14090" width="8.375" style="176" customWidth="1"/>
    <col min="14091" max="14091" width="6.25833333333333" style="176" customWidth="1"/>
    <col min="14092" max="14092" width="13.7583333333333" style="176" customWidth="1"/>
    <col min="14093" max="14098" width="8.375" style="176" customWidth="1"/>
    <col min="14099" max="14110" width="19.875" style="176" customWidth="1"/>
    <col min="14111" max="14111" width="5.625" style="176" customWidth="1"/>
    <col min="14112" max="14336" width="9" style="176" hidden="1"/>
    <col min="14337" max="14337" width="3.875" style="176" customWidth="1"/>
    <col min="14338" max="14338" width="8.625" style="176" customWidth="1"/>
    <col min="14339" max="14339" width="21.125" style="176" customWidth="1"/>
    <col min="14340" max="14340" width="8.125" style="176" customWidth="1"/>
    <col min="14341" max="14341" width="6.25833333333333" style="176" customWidth="1"/>
    <col min="14342" max="14342" width="13.7583333333333" style="176" customWidth="1"/>
    <col min="14343" max="14346" width="8.375" style="176" customWidth="1"/>
    <col min="14347" max="14347" width="6.25833333333333" style="176" customWidth="1"/>
    <col min="14348" max="14348" width="13.7583333333333" style="176" customWidth="1"/>
    <col min="14349" max="14354" width="8.375" style="176" customWidth="1"/>
    <col min="14355" max="14366" width="19.875" style="176" customWidth="1"/>
    <col min="14367" max="14367" width="5.625" style="176" customWidth="1"/>
    <col min="14368" max="14592" width="9" style="176" hidden="1"/>
    <col min="14593" max="14593" width="3.875" style="176" customWidth="1"/>
    <col min="14594" max="14594" width="8.625" style="176" customWidth="1"/>
    <col min="14595" max="14595" width="21.125" style="176" customWidth="1"/>
    <col min="14596" max="14596" width="8.125" style="176" customWidth="1"/>
    <col min="14597" max="14597" width="6.25833333333333" style="176" customWidth="1"/>
    <col min="14598" max="14598" width="13.7583333333333" style="176" customWidth="1"/>
    <col min="14599" max="14602" width="8.375" style="176" customWidth="1"/>
    <col min="14603" max="14603" width="6.25833333333333" style="176" customWidth="1"/>
    <col min="14604" max="14604" width="13.7583333333333" style="176" customWidth="1"/>
    <col min="14605" max="14610" width="8.375" style="176" customWidth="1"/>
    <col min="14611" max="14622" width="19.875" style="176" customWidth="1"/>
    <col min="14623" max="14623" width="5.625" style="176" customWidth="1"/>
    <col min="14624" max="14848" width="9" style="176" hidden="1"/>
    <col min="14849" max="14849" width="3.875" style="176" customWidth="1"/>
    <col min="14850" max="14850" width="8.625" style="176" customWidth="1"/>
    <col min="14851" max="14851" width="21.125" style="176" customWidth="1"/>
    <col min="14852" max="14852" width="8.125" style="176" customWidth="1"/>
    <col min="14853" max="14853" width="6.25833333333333" style="176" customWidth="1"/>
    <col min="14854" max="14854" width="13.7583333333333" style="176" customWidth="1"/>
    <col min="14855" max="14858" width="8.375" style="176" customWidth="1"/>
    <col min="14859" max="14859" width="6.25833333333333" style="176" customWidth="1"/>
    <col min="14860" max="14860" width="13.7583333333333" style="176" customWidth="1"/>
    <col min="14861" max="14866" width="8.375" style="176" customWidth="1"/>
    <col min="14867" max="14878" width="19.875" style="176" customWidth="1"/>
    <col min="14879" max="14879" width="5.625" style="176" customWidth="1"/>
    <col min="14880" max="15104" width="9" style="176" hidden="1"/>
    <col min="15105" max="15105" width="3.875" style="176" customWidth="1"/>
    <col min="15106" max="15106" width="8.625" style="176" customWidth="1"/>
    <col min="15107" max="15107" width="21.125" style="176" customWidth="1"/>
    <col min="15108" max="15108" width="8.125" style="176" customWidth="1"/>
    <col min="15109" max="15109" width="6.25833333333333" style="176" customWidth="1"/>
    <col min="15110" max="15110" width="13.7583333333333" style="176" customWidth="1"/>
    <col min="15111" max="15114" width="8.375" style="176" customWidth="1"/>
    <col min="15115" max="15115" width="6.25833333333333" style="176" customWidth="1"/>
    <col min="15116" max="15116" width="13.7583333333333" style="176" customWidth="1"/>
    <col min="15117" max="15122" width="8.375" style="176" customWidth="1"/>
    <col min="15123" max="15134" width="19.875" style="176" customWidth="1"/>
    <col min="15135" max="15135" width="5.625" style="176" customWidth="1"/>
    <col min="15136" max="15360" width="9" style="176" hidden="1"/>
    <col min="15361" max="15361" width="3.875" style="176" customWidth="1"/>
    <col min="15362" max="15362" width="8.625" style="176" customWidth="1"/>
    <col min="15363" max="15363" width="21.125" style="176" customWidth="1"/>
    <col min="15364" max="15364" width="8.125" style="176" customWidth="1"/>
    <col min="15365" max="15365" width="6.25833333333333" style="176" customWidth="1"/>
    <col min="15366" max="15366" width="13.7583333333333" style="176" customWidth="1"/>
    <col min="15367" max="15370" width="8.375" style="176" customWidth="1"/>
    <col min="15371" max="15371" width="6.25833333333333" style="176" customWidth="1"/>
    <col min="15372" max="15372" width="13.7583333333333" style="176" customWidth="1"/>
    <col min="15373" max="15378" width="8.375" style="176" customWidth="1"/>
    <col min="15379" max="15390" width="19.875" style="176" customWidth="1"/>
    <col min="15391" max="15391" width="5.625" style="176" customWidth="1"/>
    <col min="15392" max="15616" width="9" style="176" hidden="1"/>
    <col min="15617" max="15617" width="3.875" style="176" customWidth="1"/>
    <col min="15618" max="15618" width="8.625" style="176" customWidth="1"/>
    <col min="15619" max="15619" width="21.125" style="176" customWidth="1"/>
    <col min="15620" max="15620" width="8.125" style="176" customWidth="1"/>
    <col min="15621" max="15621" width="6.25833333333333" style="176" customWidth="1"/>
    <col min="15622" max="15622" width="13.7583333333333" style="176" customWidth="1"/>
    <col min="15623" max="15626" width="8.375" style="176" customWidth="1"/>
    <col min="15627" max="15627" width="6.25833333333333" style="176" customWidth="1"/>
    <col min="15628" max="15628" width="13.7583333333333" style="176" customWidth="1"/>
    <col min="15629" max="15634" width="8.375" style="176" customWidth="1"/>
    <col min="15635" max="15646" width="19.875" style="176" customWidth="1"/>
    <col min="15647" max="15647" width="5.625" style="176" customWidth="1"/>
    <col min="15648" max="15872" width="9" style="176" hidden="1"/>
    <col min="15873" max="15873" width="3.875" style="176" customWidth="1"/>
    <col min="15874" max="15874" width="8.625" style="176" customWidth="1"/>
    <col min="15875" max="15875" width="21.125" style="176" customWidth="1"/>
    <col min="15876" max="15876" width="8.125" style="176" customWidth="1"/>
    <col min="15877" max="15877" width="6.25833333333333" style="176" customWidth="1"/>
    <col min="15878" max="15878" width="13.7583333333333" style="176" customWidth="1"/>
    <col min="15879" max="15882" width="8.375" style="176" customWidth="1"/>
    <col min="15883" max="15883" width="6.25833333333333" style="176" customWidth="1"/>
    <col min="15884" max="15884" width="13.7583333333333" style="176" customWidth="1"/>
    <col min="15885" max="15890" width="8.375" style="176" customWidth="1"/>
    <col min="15891" max="15902" width="19.875" style="176" customWidth="1"/>
    <col min="15903" max="15903" width="5.625" style="176" customWidth="1"/>
    <col min="15904" max="16128" width="9" style="176" hidden="1"/>
    <col min="16129" max="16129" width="3.875" style="176" customWidth="1"/>
    <col min="16130" max="16130" width="8.625" style="176" customWidth="1"/>
    <col min="16131" max="16131" width="21.125" style="176" customWidth="1"/>
    <col min="16132" max="16132" width="8.125" style="176" customWidth="1"/>
    <col min="16133" max="16133" width="6.25833333333333" style="176" customWidth="1"/>
    <col min="16134" max="16134" width="13.7583333333333" style="176" customWidth="1"/>
    <col min="16135" max="16138" width="8.375" style="176" customWidth="1"/>
    <col min="16139" max="16139" width="6.25833333333333" style="176" customWidth="1"/>
    <col min="16140" max="16140" width="13.7583333333333" style="176" customWidth="1"/>
    <col min="16141" max="16146" width="8.375" style="176" customWidth="1"/>
    <col min="16147" max="16158" width="19.875" style="176" customWidth="1"/>
    <col min="16159" max="16159" width="5.625" style="176" customWidth="1"/>
    <col min="16160" max="16384" width="9" style="176" hidden="1"/>
  </cols>
  <sheetData>
    <row r="1" s="226" customFormat="1" ht="29.1" customHeight="1" spans="1:22">
      <c r="A1" s="180" t="s">
        <v>210</v>
      </c>
      <c r="B1" s="180"/>
      <c r="C1" s="180"/>
      <c r="D1" s="180"/>
      <c r="E1" s="180"/>
      <c r="F1" s="180"/>
      <c r="G1" s="180"/>
      <c r="H1" s="180"/>
      <c r="I1" s="180"/>
      <c r="J1" s="190"/>
      <c r="K1" s="180"/>
      <c r="L1" s="180"/>
      <c r="M1" s="180"/>
      <c r="N1" s="180"/>
      <c r="O1" s="180"/>
      <c r="P1" s="190"/>
      <c r="Q1" s="180"/>
      <c r="R1" s="190"/>
      <c r="S1" s="229"/>
      <c r="T1" s="197"/>
      <c r="U1" s="197"/>
      <c r="V1" s="161"/>
    </row>
    <row r="2" s="227" customFormat="1" ht="16" customHeight="1" spans="1:22">
      <c r="A2" s="181" t="s">
        <v>1</v>
      </c>
      <c r="B2" s="181"/>
      <c r="C2" s="181"/>
      <c r="D2" s="181"/>
      <c r="E2" s="181"/>
      <c r="F2" s="181"/>
      <c r="G2" s="191"/>
      <c r="H2" s="191"/>
      <c r="I2" s="191"/>
      <c r="J2" s="192"/>
      <c r="K2" s="191"/>
      <c r="L2" s="191"/>
      <c r="M2" s="191"/>
      <c r="N2" s="191"/>
      <c r="O2" s="191"/>
      <c r="P2" s="192"/>
      <c r="Q2" s="198" t="s">
        <v>3</v>
      </c>
      <c r="R2" s="198"/>
      <c r="S2" s="229"/>
      <c r="T2" s="200"/>
      <c r="U2" s="200"/>
      <c r="V2" s="201"/>
    </row>
    <row r="3" s="3" customFormat="1" ht="21" customHeight="1" spans="1:19">
      <c r="A3" s="182" t="s">
        <v>4</v>
      </c>
      <c r="B3" s="182" t="s">
        <v>116</v>
      </c>
      <c r="C3" s="182" t="s">
        <v>195</v>
      </c>
      <c r="D3" s="182" t="s">
        <v>118</v>
      </c>
      <c r="E3" s="228" t="s">
        <v>7</v>
      </c>
      <c r="F3" s="228"/>
      <c r="G3" s="228"/>
      <c r="H3" s="228"/>
      <c r="I3" s="228"/>
      <c r="J3" s="202"/>
      <c r="K3" s="228" t="s">
        <v>8</v>
      </c>
      <c r="L3" s="228"/>
      <c r="M3" s="228"/>
      <c r="N3" s="228"/>
      <c r="O3" s="228"/>
      <c r="P3" s="202"/>
      <c r="Q3" s="228" t="s">
        <v>9</v>
      </c>
      <c r="R3" s="202" t="s">
        <v>10</v>
      </c>
      <c r="S3" s="230" t="s">
        <v>190</v>
      </c>
    </row>
    <row r="4" s="3" customFormat="1" ht="21" customHeight="1" spans="1:19">
      <c r="A4" s="182"/>
      <c r="B4" s="182"/>
      <c r="C4" s="182"/>
      <c r="D4" s="182"/>
      <c r="E4" s="182" t="s">
        <v>119</v>
      </c>
      <c r="F4" s="182" t="s">
        <v>211</v>
      </c>
      <c r="G4" s="182" t="s">
        <v>203</v>
      </c>
      <c r="H4" s="182"/>
      <c r="I4" s="182" t="s">
        <v>212</v>
      </c>
      <c r="J4" s="193"/>
      <c r="K4" s="182" t="s">
        <v>119</v>
      </c>
      <c r="L4" s="182" t="s">
        <v>211</v>
      </c>
      <c r="M4" s="182" t="s">
        <v>203</v>
      </c>
      <c r="N4" s="182"/>
      <c r="O4" s="182" t="s">
        <v>212</v>
      </c>
      <c r="P4" s="193"/>
      <c r="Q4" s="228"/>
      <c r="R4" s="202"/>
      <c r="S4" s="231"/>
    </row>
    <row r="5" s="3" customFormat="1" ht="24" customHeight="1" spans="1:19">
      <c r="A5" s="182"/>
      <c r="B5" s="182"/>
      <c r="C5" s="182"/>
      <c r="D5" s="182"/>
      <c r="E5" s="182"/>
      <c r="F5" s="182"/>
      <c r="G5" s="184" t="s">
        <v>213</v>
      </c>
      <c r="H5" s="184" t="s">
        <v>214</v>
      </c>
      <c r="I5" s="184" t="s">
        <v>213</v>
      </c>
      <c r="J5" s="194" t="s">
        <v>214</v>
      </c>
      <c r="K5" s="182"/>
      <c r="L5" s="182"/>
      <c r="M5" s="184" t="s">
        <v>213</v>
      </c>
      <c r="N5" s="184" t="s">
        <v>214</v>
      </c>
      <c r="O5" s="184" t="s">
        <v>213</v>
      </c>
      <c r="P5" s="194" t="s">
        <v>214</v>
      </c>
      <c r="Q5" s="228"/>
      <c r="R5" s="202"/>
      <c r="S5" s="232"/>
    </row>
    <row r="6" s="176" customFormat="1" ht="33" customHeight="1" spans="1:19">
      <c r="A6" s="53">
        <v>1</v>
      </c>
      <c r="B6" s="185" t="s">
        <v>143</v>
      </c>
      <c r="C6" s="188" t="s">
        <v>144</v>
      </c>
      <c r="D6" s="53" t="s">
        <v>145</v>
      </c>
      <c r="E6" s="53">
        <f>'表三甲(451)'!F11</f>
        <v>1344</v>
      </c>
      <c r="F6" s="187" t="s">
        <v>209</v>
      </c>
      <c r="G6" s="54">
        <v>0.03</v>
      </c>
      <c r="H6" s="54">
        <v>144</v>
      </c>
      <c r="I6" s="54">
        <f>E6*G6</f>
        <v>40.32</v>
      </c>
      <c r="J6" s="16">
        <f>H6*I6</f>
        <v>5806.08</v>
      </c>
      <c r="K6" s="53">
        <f>表三甲!J11</f>
        <v>1344</v>
      </c>
      <c r="L6" s="187" t="s">
        <v>209</v>
      </c>
      <c r="M6" s="54">
        <v>0.03</v>
      </c>
      <c r="N6" s="54">
        <v>144</v>
      </c>
      <c r="O6" s="54">
        <f>K6*M6</f>
        <v>40.32</v>
      </c>
      <c r="P6" s="16">
        <f>N6*O6</f>
        <v>5806.08</v>
      </c>
      <c r="Q6" s="53"/>
      <c r="R6" s="53">
        <f>J6-P6</f>
        <v>0</v>
      </c>
      <c r="S6" s="233"/>
    </row>
    <row r="7" s="176" customFormat="1" ht="32" customHeight="1" spans="1:19">
      <c r="A7" s="53">
        <v>2</v>
      </c>
      <c r="B7" s="185"/>
      <c r="C7" s="188" t="s">
        <v>184</v>
      </c>
      <c r="D7" s="53"/>
      <c r="E7" s="53"/>
      <c r="F7" s="187"/>
      <c r="G7" s="54"/>
      <c r="H7" s="54"/>
      <c r="I7" s="54"/>
      <c r="J7" s="16">
        <f>SUM(J6)</f>
        <v>5806.08</v>
      </c>
      <c r="K7" s="53"/>
      <c r="L7" s="187"/>
      <c r="M7" s="54"/>
      <c r="N7" s="54"/>
      <c r="O7" s="54"/>
      <c r="P7" s="16">
        <f>SUM(P6)</f>
        <v>5806.08</v>
      </c>
      <c r="Q7" s="53"/>
      <c r="R7" s="53">
        <f>J7-P7</f>
        <v>0</v>
      </c>
      <c r="S7" s="234"/>
    </row>
  </sheetData>
  <mergeCells count="20">
    <mergeCell ref="A1:R1"/>
    <mergeCell ref="A2:F2"/>
    <mergeCell ref="Q2:R2"/>
    <mergeCell ref="E3:J3"/>
    <mergeCell ref="K3:P3"/>
    <mergeCell ref="G4:H4"/>
    <mergeCell ref="I4:J4"/>
    <mergeCell ref="M4:N4"/>
    <mergeCell ref="O4:P4"/>
    <mergeCell ref="A3:A5"/>
    <mergeCell ref="B3:B5"/>
    <mergeCell ref="C3:C5"/>
    <mergeCell ref="D3:D5"/>
    <mergeCell ref="E4:E5"/>
    <mergeCell ref="F4:F5"/>
    <mergeCell ref="K4:K5"/>
    <mergeCell ref="L4:L5"/>
    <mergeCell ref="Q3:Q5"/>
    <mergeCell ref="R3:R5"/>
    <mergeCell ref="S3:S5"/>
  </mergeCells>
  <printOptions horizontalCentered="1"/>
  <pageMargins left="0.393055555555556" right="0.393055555555556" top="0.590277777777778" bottom="0.393055555555556" header="0.5" footer="0.306944444444444"/>
  <pageSetup paperSize="9" scale="90" fitToHeight="0" orientation="landscape" horizontalDpi="600"/>
  <headerFooter>
    <oddFooter>&amp;C&amp;9第 &amp;P 页，共 &amp;N 页</oddFooter>
  </headerFooter>
  <ignoredErrors>
    <ignoredError sqref="I6:J6 J7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showZeros="0" view="pageBreakPreview" zoomScaleNormal="100" topLeftCell="B1" workbookViewId="0">
      <selection activeCell="F12" sqref="F12:F16"/>
    </sheetView>
  </sheetViews>
  <sheetFormatPr defaultColWidth="9" defaultRowHeight="12.75"/>
  <cols>
    <col min="1" max="1" width="2.90833333333333" style="177" hidden="1" customWidth="1"/>
    <col min="2" max="2" width="6.44166666666667" style="176" customWidth="1"/>
    <col min="3" max="3" width="10.0916666666667" style="176" customWidth="1"/>
    <col min="4" max="4" width="46.4583333333333" style="176" customWidth="1"/>
    <col min="5" max="5" width="6.35833333333333" style="177" customWidth="1"/>
    <col min="6" max="6" width="8.44166666666667" style="176" customWidth="1"/>
    <col min="7" max="7" width="17.3583333333333" style="176" customWidth="1"/>
    <col min="8" max="8" width="9" style="178" customWidth="1"/>
    <col min="9" max="9" width="9.09166666666667" style="178" customWidth="1"/>
    <col min="10" max="10" width="8.90833333333333" style="178" customWidth="1"/>
    <col min="11" max="11" width="11" style="176" customWidth="1"/>
    <col min="12" max="16384" width="9" style="176"/>
  </cols>
  <sheetData>
    <row r="1" s="204" customFormat="1" ht="33" customHeight="1" spans="1:11">
      <c r="A1" s="206"/>
      <c r="B1" s="207" t="s">
        <v>215</v>
      </c>
      <c r="C1" s="207"/>
      <c r="D1" s="207"/>
      <c r="E1" s="207"/>
      <c r="F1" s="207"/>
      <c r="G1" s="207"/>
      <c r="H1" s="207"/>
      <c r="I1" s="207"/>
      <c r="J1" s="207"/>
      <c r="K1" s="207"/>
    </row>
    <row r="2" s="204" customFormat="1" ht="24" customHeight="1" spans="1:11">
      <c r="A2" s="206"/>
      <c r="B2" s="208" t="str">
        <f>表一!A2</f>
        <v>工程名称：杭州钱塘区下沙街道开发区电力隧道（一期二标）信号覆盖建设工程</v>
      </c>
      <c r="E2" s="206"/>
      <c r="H2" s="209"/>
      <c r="I2" s="209"/>
      <c r="J2" s="209"/>
      <c r="K2" s="223" t="s">
        <v>216</v>
      </c>
    </row>
    <row r="3" ht="18" customHeight="1" spans="2:11">
      <c r="B3" s="105" t="s">
        <v>4</v>
      </c>
      <c r="C3" s="105" t="s">
        <v>116</v>
      </c>
      <c r="D3" s="105" t="s">
        <v>117</v>
      </c>
      <c r="E3" s="105" t="s">
        <v>118</v>
      </c>
      <c r="F3" s="105" t="s">
        <v>119</v>
      </c>
      <c r="G3" s="210" t="s">
        <v>217</v>
      </c>
      <c r="H3" s="211" t="s">
        <v>203</v>
      </c>
      <c r="I3" s="211"/>
      <c r="J3" s="105" t="s">
        <v>204</v>
      </c>
      <c r="K3" s="105"/>
    </row>
    <row r="4" ht="31.5" customHeight="1" spans="2:11">
      <c r="B4" s="105"/>
      <c r="C4" s="105"/>
      <c r="D4" s="105"/>
      <c r="E4" s="105"/>
      <c r="F4" s="105"/>
      <c r="G4" s="212"/>
      <c r="H4" s="213" t="s">
        <v>205</v>
      </c>
      <c r="I4" s="213" t="s">
        <v>206</v>
      </c>
      <c r="J4" s="213" t="s">
        <v>205</v>
      </c>
      <c r="K4" s="224" t="s">
        <v>207</v>
      </c>
    </row>
    <row r="5" s="205" customFormat="1" ht="15" customHeight="1" spans="1:11">
      <c r="A5" s="214"/>
      <c r="B5" s="215" t="s">
        <v>38</v>
      </c>
      <c r="C5" s="216" t="s">
        <v>39</v>
      </c>
      <c r="D5" s="215" t="s">
        <v>40</v>
      </c>
      <c r="E5" s="216" t="s">
        <v>41</v>
      </c>
      <c r="F5" s="215" t="s">
        <v>124</v>
      </c>
      <c r="G5" s="215" t="s">
        <v>125</v>
      </c>
      <c r="H5" s="215" t="s">
        <v>126</v>
      </c>
      <c r="I5" s="215" t="s">
        <v>127</v>
      </c>
      <c r="J5" s="216" t="s">
        <v>128</v>
      </c>
      <c r="K5" s="216" t="s">
        <v>208</v>
      </c>
    </row>
    <row r="6" ht="15" customHeight="1" spans="1:11">
      <c r="A6" s="177">
        <v>1</v>
      </c>
      <c r="B6" s="105">
        <v>1</v>
      </c>
      <c r="C6" s="217" t="s">
        <v>143</v>
      </c>
      <c r="D6" s="218" t="s">
        <v>144</v>
      </c>
      <c r="E6" s="219" t="s">
        <v>145</v>
      </c>
      <c r="F6" s="105">
        <f>'表三甲(451)'!F11</f>
        <v>1344</v>
      </c>
      <c r="G6" s="220" t="s">
        <v>218</v>
      </c>
      <c r="H6" s="221">
        <v>0.05</v>
      </c>
      <c r="I6" s="221">
        <v>153</v>
      </c>
      <c r="J6" s="221">
        <f>F6*H6</f>
        <v>67.2</v>
      </c>
      <c r="K6" s="221">
        <f>I6*J6</f>
        <v>10281.6</v>
      </c>
    </row>
    <row r="7" ht="15" customHeight="1" spans="1:11">
      <c r="A7" s="177">
        <v>2</v>
      </c>
      <c r="B7" s="105">
        <v>2</v>
      </c>
      <c r="C7" s="217" t="s">
        <v>168</v>
      </c>
      <c r="D7" s="218" t="s">
        <v>169</v>
      </c>
      <c r="E7" s="219" t="s">
        <v>131</v>
      </c>
      <c r="F7" s="105">
        <f>'表三甲(451)'!F22+'表三甲(451)'!F23</f>
        <v>476</v>
      </c>
      <c r="G7" s="220" t="s">
        <v>219</v>
      </c>
      <c r="H7" s="221">
        <v>0.12</v>
      </c>
      <c r="I7" s="221">
        <v>140</v>
      </c>
      <c r="J7" s="221">
        <f t="shared" ref="J7:J15" si="0">F7*H7</f>
        <v>57.12</v>
      </c>
      <c r="K7" s="221">
        <f t="shared" ref="K7:K15" si="1">I7*J7</f>
        <v>7996.8</v>
      </c>
    </row>
    <row r="8" ht="15" customHeight="1" spans="1:11">
      <c r="A8" s="177">
        <v>3</v>
      </c>
      <c r="B8" s="105">
        <v>3</v>
      </c>
      <c r="C8" s="217" t="s">
        <v>168</v>
      </c>
      <c r="D8" s="218" t="s">
        <v>169</v>
      </c>
      <c r="E8" s="219" t="s">
        <v>131</v>
      </c>
      <c r="F8" s="105">
        <f>F7</f>
        <v>476</v>
      </c>
      <c r="G8" s="220" t="s">
        <v>220</v>
      </c>
      <c r="H8" s="221">
        <v>0.12</v>
      </c>
      <c r="I8" s="221">
        <v>147</v>
      </c>
      <c r="J8" s="221">
        <f t="shared" si="0"/>
        <v>57.12</v>
      </c>
      <c r="K8" s="221">
        <f t="shared" si="1"/>
        <v>8396.64</v>
      </c>
    </row>
    <row r="9" ht="15" customHeight="1" spans="1:11">
      <c r="A9" s="177">
        <v>4</v>
      </c>
      <c r="B9" s="105">
        <v>4</v>
      </c>
      <c r="C9" s="217" t="s">
        <v>171</v>
      </c>
      <c r="D9" s="218" t="s">
        <v>172</v>
      </c>
      <c r="E9" s="219" t="s">
        <v>139</v>
      </c>
      <c r="F9" s="105">
        <f>'表三甲(451)'!F24</f>
        <v>998</v>
      </c>
      <c r="G9" s="220" t="s">
        <v>221</v>
      </c>
      <c r="H9" s="221">
        <v>0.07</v>
      </c>
      <c r="I9" s="221">
        <v>140</v>
      </c>
      <c r="J9" s="221">
        <f t="shared" si="0"/>
        <v>69.86</v>
      </c>
      <c r="K9" s="221">
        <f t="shared" si="1"/>
        <v>9780.4</v>
      </c>
    </row>
    <row r="10" ht="15" customHeight="1" spans="1:11">
      <c r="A10" s="177">
        <v>5</v>
      </c>
      <c r="B10" s="105">
        <v>5</v>
      </c>
      <c r="C10" s="217" t="s">
        <v>171</v>
      </c>
      <c r="D10" s="218" t="s">
        <v>172</v>
      </c>
      <c r="E10" s="219" t="s">
        <v>139</v>
      </c>
      <c r="F10" s="105">
        <f>F9</f>
        <v>998</v>
      </c>
      <c r="G10" s="220" t="s">
        <v>222</v>
      </c>
      <c r="H10" s="221">
        <v>0.07</v>
      </c>
      <c r="I10" s="221">
        <v>125</v>
      </c>
      <c r="J10" s="221">
        <f t="shared" si="0"/>
        <v>69.86</v>
      </c>
      <c r="K10" s="221">
        <f t="shared" si="1"/>
        <v>8732.5</v>
      </c>
    </row>
    <row r="11" ht="15" customHeight="1" spans="1:11">
      <c r="A11" s="177">
        <v>6</v>
      </c>
      <c r="B11" s="105">
        <v>6</v>
      </c>
      <c r="C11" s="217" t="s">
        <v>171</v>
      </c>
      <c r="D11" s="218" t="s">
        <v>172</v>
      </c>
      <c r="E11" s="219" t="s">
        <v>139</v>
      </c>
      <c r="F11" s="105">
        <f>F9</f>
        <v>998</v>
      </c>
      <c r="G11" s="220" t="s">
        <v>223</v>
      </c>
      <c r="H11" s="221">
        <v>0.07</v>
      </c>
      <c r="I11" s="221">
        <v>310</v>
      </c>
      <c r="J11" s="221">
        <f t="shared" si="0"/>
        <v>69.86</v>
      </c>
      <c r="K11" s="221">
        <f t="shared" si="1"/>
        <v>21656.6</v>
      </c>
    </row>
    <row r="12" ht="15" customHeight="1" spans="1:11">
      <c r="A12" s="177">
        <v>7</v>
      </c>
      <c r="B12" s="105">
        <v>7</v>
      </c>
      <c r="C12" s="217" t="s">
        <v>176</v>
      </c>
      <c r="D12" s="222" t="s">
        <v>177</v>
      </c>
      <c r="E12" s="219" t="s">
        <v>178</v>
      </c>
      <c r="F12" s="105">
        <f>'表三甲(451)'!F26</f>
        <v>0</v>
      </c>
      <c r="G12" s="220" t="s">
        <v>224</v>
      </c>
      <c r="H12" s="221">
        <v>1</v>
      </c>
      <c r="I12" s="221">
        <v>138</v>
      </c>
      <c r="J12" s="221">
        <f t="shared" si="0"/>
        <v>0</v>
      </c>
      <c r="K12" s="221">
        <f t="shared" si="1"/>
        <v>0</v>
      </c>
    </row>
    <row r="13" ht="15" customHeight="1" spans="1:11">
      <c r="A13" s="177">
        <v>8</v>
      </c>
      <c r="B13" s="105">
        <v>8</v>
      </c>
      <c r="C13" s="217" t="s">
        <v>176</v>
      </c>
      <c r="D13" s="218" t="s">
        <v>177</v>
      </c>
      <c r="E13" s="219" t="s">
        <v>178</v>
      </c>
      <c r="F13" s="105">
        <f>F12</f>
        <v>0</v>
      </c>
      <c r="G13" s="220" t="s">
        <v>220</v>
      </c>
      <c r="H13" s="221">
        <v>1</v>
      </c>
      <c r="I13" s="221">
        <v>147</v>
      </c>
      <c r="J13" s="221">
        <f t="shared" si="0"/>
        <v>0</v>
      </c>
      <c r="K13" s="221">
        <f t="shared" si="1"/>
        <v>0</v>
      </c>
    </row>
    <row r="14" ht="15" customHeight="1" spans="1:11">
      <c r="A14" s="177">
        <v>9</v>
      </c>
      <c r="B14" s="105">
        <v>9</v>
      </c>
      <c r="C14" s="217" t="s">
        <v>176</v>
      </c>
      <c r="D14" s="218" t="s">
        <v>177</v>
      </c>
      <c r="E14" s="219" t="s">
        <v>178</v>
      </c>
      <c r="F14" s="105">
        <f>F12</f>
        <v>0</v>
      </c>
      <c r="G14" s="220" t="s">
        <v>225</v>
      </c>
      <c r="H14" s="221">
        <v>1</v>
      </c>
      <c r="I14" s="221">
        <v>350</v>
      </c>
      <c r="J14" s="221">
        <f t="shared" si="0"/>
        <v>0</v>
      </c>
      <c r="K14" s="221">
        <f t="shared" si="1"/>
        <v>0</v>
      </c>
    </row>
    <row r="15" ht="15" customHeight="1" spans="1:11">
      <c r="A15" s="177">
        <v>10</v>
      </c>
      <c r="B15" s="105">
        <v>10</v>
      </c>
      <c r="C15" s="217" t="s">
        <v>176</v>
      </c>
      <c r="D15" s="218" t="s">
        <v>177</v>
      </c>
      <c r="E15" s="219" t="s">
        <v>178</v>
      </c>
      <c r="F15" s="105">
        <f>F12</f>
        <v>0</v>
      </c>
      <c r="G15" s="220" t="s">
        <v>222</v>
      </c>
      <c r="H15" s="221">
        <v>1</v>
      </c>
      <c r="I15" s="221">
        <v>125</v>
      </c>
      <c r="J15" s="221">
        <f t="shared" si="0"/>
        <v>0</v>
      </c>
      <c r="K15" s="221">
        <f t="shared" si="1"/>
        <v>0</v>
      </c>
    </row>
    <row r="16" ht="15" customHeight="1" spans="1:11">
      <c r="A16" s="177">
        <v>11</v>
      </c>
      <c r="B16" s="105">
        <v>11</v>
      </c>
      <c r="C16" s="217">
        <v>0</v>
      </c>
      <c r="D16" s="218" t="s">
        <v>184</v>
      </c>
      <c r="E16" s="219">
        <v>0</v>
      </c>
      <c r="F16" s="105">
        <v>0</v>
      </c>
      <c r="G16" s="220">
        <v>0</v>
      </c>
      <c r="H16" s="221">
        <v>0</v>
      </c>
      <c r="I16" s="221">
        <v>0</v>
      </c>
      <c r="J16" s="221">
        <v>0</v>
      </c>
      <c r="K16" s="221">
        <f>SUM(K6:K15)</f>
        <v>66844.54</v>
      </c>
    </row>
    <row r="17" ht="15" customHeight="1" spans="1:11">
      <c r="A17" s="177">
        <v>12</v>
      </c>
      <c r="B17" s="105">
        <v>0</v>
      </c>
      <c r="C17" s="217" t="s">
        <v>30</v>
      </c>
      <c r="D17" s="218" t="s">
        <v>30</v>
      </c>
      <c r="E17" s="219">
        <v>0</v>
      </c>
      <c r="F17" s="105" t="s">
        <v>30</v>
      </c>
      <c r="G17" s="220" t="s">
        <v>30</v>
      </c>
      <c r="H17" s="221" t="s">
        <v>30</v>
      </c>
      <c r="I17" s="221" t="s">
        <v>30</v>
      </c>
      <c r="J17" s="221">
        <v>0</v>
      </c>
      <c r="K17" s="221" t="s">
        <v>30</v>
      </c>
    </row>
    <row r="18" ht="15" customHeight="1" spans="1:11">
      <c r="A18" s="177">
        <v>13</v>
      </c>
      <c r="B18" s="105">
        <v>0</v>
      </c>
      <c r="C18" s="217" t="s">
        <v>30</v>
      </c>
      <c r="D18" s="218" t="s">
        <v>30</v>
      </c>
      <c r="E18" s="219">
        <v>0</v>
      </c>
      <c r="F18" s="105" t="s">
        <v>30</v>
      </c>
      <c r="G18" s="220" t="s">
        <v>30</v>
      </c>
      <c r="H18" s="221" t="s">
        <v>30</v>
      </c>
      <c r="I18" s="221" t="s">
        <v>30</v>
      </c>
      <c r="J18" s="221">
        <v>0</v>
      </c>
      <c r="K18" s="221" t="s">
        <v>30</v>
      </c>
    </row>
    <row r="19" ht="15" customHeight="1" spans="1:11">
      <c r="A19" s="177">
        <v>14</v>
      </c>
      <c r="B19" s="105">
        <v>0</v>
      </c>
      <c r="C19" s="217" t="s">
        <v>30</v>
      </c>
      <c r="D19" s="218" t="s">
        <v>30</v>
      </c>
      <c r="E19" s="219">
        <v>0</v>
      </c>
      <c r="F19" s="105" t="s">
        <v>30</v>
      </c>
      <c r="G19" s="220" t="s">
        <v>30</v>
      </c>
      <c r="H19" s="221" t="s">
        <v>30</v>
      </c>
      <c r="I19" s="221" t="s">
        <v>30</v>
      </c>
      <c r="J19" s="221">
        <v>0</v>
      </c>
      <c r="K19" s="221" t="s">
        <v>30</v>
      </c>
    </row>
    <row r="20" ht="15" customHeight="1" spans="1:11">
      <c r="A20" s="177">
        <v>15</v>
      </c>
      <c r="B20" s="105">
        <v>0</v>
      </c>
      <c r="C20" s="217" t="s">
        <v>30</v>
      </c>
      <c r="D20" s="218" t="s">
        <v>30</v>
      </c>
      <c r="E20" s="219">
        <v>0</v>
      </c>
      <c r="F20" s="105" t="s">
        <v>30</v>
      </c>
      <c r="G20" s="220" t="s">
        <v>30</v>
      </c>
      <c r="H20" s="221" t="s">
        <v>30</v>
      </c>
      <c r="I20" s="221" t="s">
        <v>30</v>
      </c>
      <c r="J20" s="221">
        <v>0</v>
      </c>
      <c r="K20" s="221" t="s">
        <v>30</v>
      </c>
    </row>
    <row r="21" ht="15" customHeight="1" spans="1:11">
      <c r="A21" s="177">
        <v>16</v>
      </c>
      <c r="B21" s="105">
        <v>0</v>
      </c>
      <c r="C21" s="217" t="s">
        <v>30</v>
      </c>
      <c r="D21" s="218" t="s">
        <v>30</v>
      </c>
      <c r="E21" s="219">
        <v>0</v>
      </c>
      <c r="F21" s="105" t="s">
        <v>30</v>
      </c>
      <c r="G21" s="220" t="s">
        <v>30</v>
      </c>
      <c r="H21" s="221" t="s">
        <v>30</v>
      </c>
      <c r="I21" s="221" t="s">
        <v>30</v>
      </c>
      <c r="J21" s="221">
        <v>0</v>
      </c>
      <c r="K21" s="221" t="s">
        <v>30</v>
      </c>
    </row>
    <row r="22" ht="15" customHeight="1" spans="1:11">
      <c r="A22" s="177">
        <v>17</v>
      </c>
      <c r="B22" s="105">
        <v>0</v>
      </c>
      <c r="C22" s="217" t="s">
        <v>30</v>
      </c>
      <c r="D22" s="218" t="s">
        <v>30</v>
      </c>
      <c r="E22" s="219">
        <v>0</v>
      </c>
      <c r="F22" s="105" t="s">
        <v>30</v>
      </c>
      <c r="G22" s="220" t="s">
        <v>30</v>
      </c>
      <c r="H22" s="221" t="s">
        <v>30</v>
      </c>
      <c r="I22" s="221" t="s">
        <v>30</v>
      </c>
      <c r="J22" s="221">
        <v>0</v>
      </c>
      <c r="K22" s="221" t="s">
        <v>30</v>
      </c>
    </row>
    <row r="23" ht="15" customHeight="1" spans="1:11">
      <c r="A23" s="177">
        <v>18</v>
      </c>
      <c r="B23" s="105">
        <v>0</v>
      </c>
      <c r="C23" s="217" t="s">
        <v>30</v>
      </c>
      <c r="D23" s="218" t="s">
        <v>30</v>
      </c>
      <c r="E23" s="219">
        <v>0</v>
      </c>
      <c r="F23" s="105" t="s">
        <v>30</v>
      </c>
      <c r="G23" s="220" t="s">
        <v>30</v>
      </c>
      <c r="H23" s="221" t="s">
        <v>30</v>
      </c>
      <c r="I23" s="221" t="s">
        <v>30</v>
      </c>
      <c r="J23" s="221">
        <v>0</v>
      </c>
      <c r="K23" s="221" t="s">
        <v>30</v>
      </c>
    </row>
    <row r="24" ht="15" customHeight="1" spans="1:11">
      <c r="A24" s="177">
        <v>19</v>
      </c>
      <c r="B24" s="105">
        <v>0</v>
      </c>
      <c r="C24" s="217" t="s">
        <v>30</v>
      </c>
      <c r="D24" s="218" t="s">
        <v>30</v>
      </c>
      <c r="E24" s="219">
        <v>0</v>
      </c>
      <c r="F24" s="105" t="s">
        <v>30</v>
      </c>
      <c r="G24" s="220" t="s">
        <v>30</v>
      </c>
      <c r="H24" s="221" t="s">
        <v>30</v>
      </c>
      <c r="I24" s="221" t="s">
        <v>30</v>
      </c>
      <c r="J24" s="221">
        <v>0</v>
      </c>
      <c r="K24" s="221" t="s">
        <v>30</v>
      </c>
    </row>
    <row r="25" ht="15" customHeight="1" spans="1:11">
      <c r="A25" s="177">
        <v>20</v>
      </c>
      <c r="B25" s="105">
        <v>0</v>
      </c>
      <c r="C25" s="217" t="s">
        <v>30</v>
      </c>
      <c r="D25" s="218" t="s">
        <v>30</v>
      </c>
      <c r="E25" s="219">
        <v>0</v>
      </c>
      <c r="F25" s="105" t="s">
        <v>30</v>
      </c>
      <c r="G25" s="220" t="s">
        <v>30</v>
      </c>
      <c r="H25" s="221" t="s">
        <v>30</v>
      </c>
      <c r="I25" s="221" t="s">
        <v>30</v>
      </c>
      <c r="J25" s="221">
        <v>0</v>
      </c>
      <c r="K25" s="221" t="s">
        <v>30</v>
      </c>
    </row>
    <row r="26" ht="15" customHeight="1" spans="1:11">
      <c r="A26" s="177">
        <v>21</v>
      </c>
      <c r="B26" s="105">
        <v>0</v>
      </c>
      <c r="C26" s="217" t="s">
        <v>30</v>
      </c>
      <c r="D26" s="218" t="s">
        <v>30</v>
      </c>
      <c r="E26" s="219">
        <v>0</v>
      </c>
      <c r="F26" s="105" t="s">
        <v>30</v>
      </c>
      <c r="G26" s="220" t="s">
        <v>30</v>
      </c>
      <c r="H26" s="221" t="s">
        <v>30</v>
      </c>
      <c r="I26" s="221" t="s">
        <v>30</v>
      </c>
      <c r="J26" s="221">
        <v>0</v>
      </c>
      <c r="K26" s="221" t="s">
        <v>30</v>
      </c>
    </row>
    <row r="27" ht="15" customHeight="1" spans="1:11">
      <c r="A27" s="177">
        <v>22</v>
      </c>
      <c r="B27" s="105">
        <v>0</v>
      </c>
      <c r="C27" s="217" t="s">
        <v>30</v>
      </c>
      <c r="D27" s="218" t="s">
        <v>30</v>
      </c>
      <c r="E27" s="219">
        <v>0</v>
      </c>
      <c r="F27" s="105" t="s">
        <v>30</v>
      </c>
      <c r="G27" s="220" t="s">
        <v>30</v>
      </c>
      <c r="H27" s="221" t="s">
        <v>30</v>
      </c>
      <c r="I27" s="221" t="s">
        <v>30</v>
      </c>
      <c r="J27" s="221">
        <v>0</v>
      </c>
      <c r="K27" s="221" t="s">
        <v>30</v>
      </c>
    </row>
    <row r="28" ht="15" customHeight="1" spans="2:11">
      <c r="B28" s="189" t="s">
        <v>32</v>
      </c>
      <c r="E28" s="176"/>
      <c r="H28" s="176"/>
      <c r="I28" s="176"/>
      <c r="J28" s="176"/>
      <c r="K28" s="225" t="s">
        <v>113</v>
      </c>
    </row>
    <row r="29" spans="5:10">
      <c r="E29" s="176"/>
      <c r="H29" s="176"/>
      <c r="I29" s="176"/>
      <c r="J29" s="176"/>
    </row>
  </sheetData>
  <sheetProtection password="CEAA" sheet="1"/>
  <mergeCells count="9">
    <mergeCell ref="B1:K1"/>
    <mergeCell ref="H3:I3"/>
    <mergeCell ref="J3:K3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9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view="pageBreakPreview" zoomScaleNormal="100" workbookViewId="0">
      <selection activeCell="I7" sqref="I7"/>
    </sheetView>
  </sheetViews>
  <sheetFormatPr defaultColWidth="9" defaultRowHeight="12.75"/>
  <cols>
    <col min="1" max="1" width="4.25833333333333" style="176" customWidth="1"/>
    <col min="2" max="2" width="8.875" style="176" customWidth="1"/>
    <col min="3" max="3" width="19.7583333333333" style="176" customWidth="1"/>
    <col min="4" max="4" width="6.08333333333333" style="177" customWidth="1"/>
    <col min="5" max="5" width="6.625" style="176" customWidth="1"/>
    <col min="6" max="6" width="13.2583333333333" style="176" customWidth="1"/>
    <col min="7" max="9" width="8.875" style="178" customWidth="1"/>
    <col min="10" max="10" width="8.875" style="179" customWidth="1"/>
    <col min="11" max="11" width="6.625" style="176" customWidth="1"/>
    <col min="12" max="12" width="12.7583333333333" style="176" customWidth="1"/>
    <col min="13" max="15" width="8.875" style="178" customWidth="1"/>
    <col min="16" max="16" width="8.875" style="179" customWidth="1"/>
    <col min="17" max="17" width="7.5" style="176" customWidth="1"/>
    <col min="18" max="18" width="7.875" style="179" customWidth="1"/>
    <col min="19" max="21" width="9" style="176" customWidth="1"/>
    <col min="22" max="22" width="13.875" style="176" customWidth="1"/>
    <col min="23" max="32" width="9" style="176"/>
    <col min="33" max="224" width="8.48333333333333" style="176" hidden="1"/>
    <col min="225" max="255" width="9" style="176"/>
    <col min="256" max="256" width="3.375" style="176" customWidth="1"/>
    <col min="257" max="257" width="4.25833333333333" style="176" customWidth="1"/>
    <col min="258" max="258" width="8.875" style="176" customWidth="1"/>
    <col min="259" max="259" width="19.7583333333333" style="176" customWidth="1"/>
    <col min="260" max="260" width="6.08333333333333" style="176" customWidth="1"/>
    <col min="261" max="261" width="6.625" style="176" customWidth="1"/>
    <col min="262" max="262" width="13.2583333333333" style="176" customWidth="1"/>
    <col min="263" max="266" width="8.875" style="176" customWidth="1"/>
    <col min="267" max="267" width="6.625" style="176" customWidth="1"/>
    <col min="268" max="268" width="12.7583333333333" style="176" customWidth="1"/>
    <col min="269" max="272" width="8.875" style="176" customWidth="1"/>
    <col min="273" max="273" width="7.5" style="176" customWidth="1"/>
    <col min="274" max="274" width="7.875" style="176" customWidth="1"/>
    <col min="275" max="277" width="9" style="176" customWidth="1"/>
    <col min="278" max="278" width="13.875" style="176" customWidth="1"/>
    <col min="279" max="288" width="9" style="176"/>
    <col min="289" max="480" width="8.48333333333333" style="176" hidden="1"/>
    <col min="481" max="511" width="9" style="176"/>
    <col min="512" max="512" width="3.375" style="176" customWidth="1"/>
    <col min="513" max="513" width="4.25833333333333" style="176" customWidth="1"/>
    <col min="514" max="514" width="8.875" style="176" customWidth="1"/>
    <col min="515" max="515" width="19.7583333333333" style="176" customWidth="1"/>
    <col min="516" max="516" width="6.08333333333333" style="176" customWidth="1"/>
    <col min="517" max="517" width="6.625" style="176" customWidth="1"/>
    <col min="518" max="518" width="13.2583333333333" style="176" customWidth="1"/>
    <col min="519" max="522" width="8.875" style="176" customWidth="1"/>
    <col min="523" max="523" width="6.625" style="176" customWidth="1"/>
    <col min="524" max="524" width="12.7583333333333" style="176" customWidth="1"/>
    <col min="525" max="528" width="8.875" style="176" customWidth="1"/>
    <col min="529" max="529" width="7.5" style="176" customWidth="1"/>
    <col min="530" max="530" width="7.875" style="176" customWidth="1"/>
    <col min="531" max="533" width="9" style="176" customWidth="1"/>
    <col min="534" max="534" width="13.875" style="176" customWidth="1"/>
    <col min="535" max="544" width="9" style="176"/>
    <col min="545" max="736" width="8.48333333333333" style="176" hidden="1"/>
    <col min="737" max="767" width="9" style="176"/>
    <col min="768" max="768" width="3.375" style="176" customWidth="1"/>
    <col min="769" max="769" width="4.25833333333333" style="176" customWidth="1"/>
    <col min="770" max="770" width="8.875" style="176" customWidth="1"/>
    <col min="771" max="771" width="19.7583333333333" style="176" customWidth="1"/>
    <col min="772" max="772" width="6.08333333333333" style="176" customWidth="1"/>
    <col min="773" max="773" width="6.625" style="176" customWidth="1"/>
    <col min="774" max="774" width="13.2583333333333" style="176" customWidth="1"/>
    <col min="775" max="778" width="8.875" style="176" customWidth="1"/>
    <col min="779" max="779" width="6.625" style="176" customWidth="1"/>
    <col min="780" max="780" width="12.7583333333333" style="176" customWidth="1"/>
    <col min="781" max="784" width="8.875" style="176" customWidth="1"/>
    <col min="785" max="785" width="7.5" style="176" customWidth="1"/>
    <col min="786" max="786" width="7.875" style="176" customWidth="1"/>
    <col min="787" max="789" width="9" style="176" customWidth="1"/>
    <col min="790" max="790" width="13.875" style="176" customWidth="1"/>
    <col min="791" max="800" width="9" style="176"/>
    <col min="801" max="992" width="8.48333333333333" style="176" hidden="1"/>
    <col min="993" max="1023" width="9" style="176"/>
    <col min="1024" max="1024" width="3.375" style="176" customWidth="1"/>
    <col min="1025" max="1025" width="4.25833333333333" style="176" customWidth="1"/>
    <col min="1026" max="1026" width="8.875" style="176" customWidth="1"/>
    <col min="1027" max="1027" width="19.7583333333333" style="176" customWidth="1"/>
    <col min="1028" max="1028" width="6.08333333333333" style="176" customWidth="1"/>
    <col min="1029" max="1029" width="6.625" style="176" customWidth="1"/>
    <col min="1030" max="1030" width="13.2583333333333" style="176" customWidth="1"/>
    <col min="1031" max="1034" width="8.875" style="176" customWidth="1"/>
    <col min="1035" max="1035" width="6.625" style="176" customWidth="1"/>
    <col min="1036" max="1036" width="12.7583333333333" style="176" customWidth="1"/>
    <col min="1037" max="1040" width="8.875" style="176" customWidth="1"/>
    <col min="1041" max="1041" width="7.5" style="176" customWidth="1"/>
    <col min="1042" max="1042" width="7.875" style="176" customWidth="1"/>
    <col min="1043" max="1045" width="9" style="176" customWidth="1"/>
    <col min="1046" max="1046" width="13.875" style="176" customWidth="1"/>
    <col min="1047" max="1056" width="9" style="176"/>
    <col min="1057" max="1248" width="8.48333333333333" style="176" hidden="1"/>
    <col min="1249" max="1279" width="9" style="176"/>
    <col min="1280" max="1280" width="3.375" style="176" customWidth="1"/>
    <col min="1281" max="1281" width="4.25833333333333" style="176" customWidth="1"/>
    <col min="1282" max="1282" width="8.875" style="176" customWidth="1"/>
    <col min="1283" max="1283" width="19.7583333333333" style="176" customWidth="1"/>
    <col min="1284" max="1284" width="6.08333333333333" style="176" customWidth="1"/>
    <col min="1285" max="1285" width="6.625" style="176" customWidth="1"/>
    <col min="1286" max="1286" width="13.2583333333333" style="176" customWidth="1"/>
    <col min="1287" max="1290" width="8.875" style="176" customWidth="1"/>
    <col min="1291" max="1291" width="6.625" style="176" customWidth="1"/>
    <col min="1292" max="1292" width="12.7583333333333" style="176" customWidth="1"/>
    <col min="1293" max="1296" width="8.875" style="176" customWidth="1"/>
    <col min="1297" max="1297" width="7.5" style="176" customWidth="1"/>
    <col min="1298" max="1298" width="7.875" style="176" customWidth="1"/>
    <col min="1299" max="1301" width="9" style="176" customWidth="1"/>
    <col min="1302" max="1302" width="13.875" style="176" customWidth="1"/>
    <col min="1303" max="1312" width="9" style="176"/>
    <col min="1313" max="1504" width="8.48333333333333" style="176" hidden="1"/>
    <col min="1505" max="1535" width="9" style="176"/>
    <col min="1536" max="1536" width="3.375" style="176" customWidth="1"/>
    <col min="1537" max="1537" width="4.25833333333333" style="176" customWidth="1"/>
    <col min="1538" max="1538" width="8.875" style="176" customWidth="1"/>
    <col min="1539" max="1539" width="19.7583333333333" style="176" customWidth="1"/>
    <col min="1540" max="1540" width="6.08333333333333" style="176" customWidth="1"/>
    <col min="1541" max="1541" width="6.625" style="176" customWidth="1"/>
    <col min="1542" max="1542" width="13.2583333333333" style="176" customWidth="1"/>
    <col min="1543" max="1546" width="8.875" style="176" customWidth="1"/>
    <col min="1547" max="1547" width="6.625" style="176" customWidth="1"/>
    <col min="1548" max="1548" width="12.7583333333333" style="176" customWidth="1"/>
    <col min="1549" max="1552" width="8.875" style="176" customWidth="1"/>
    <col min="1553" max="1553" width="7.5" style="176" customWidth="1"/>
    <col min="1554" max="1554" width="7.875" style="176" customWidth="1"/>
    <col min="1555" max="1557" width="9" style="176" customWidth="1"/>
    <col min="1558" max="1558" width="13.875" style="176" customWidth="1"/>
    <col min="1559" max="1568" width="9" style="176"/>
    <col min="1569" max="1760" width="8.48333333333333" style="176" hidden="1"/>
    <col min="1761" max="1791" width="9" style="176"/>
    <col min="1792" max="1792" width="3.375" style="176" customWidth="1"/>
    <col min="1793" max="1793" width="4.25833333333333" style="176" customWidth="1"/>
    <col min="1794" max="1794" width="8.875" style="176" customWidth="1"/>
    <col min="1795" max="1795" width="19.7583333333333" style="176" customWidth="1"/>
    <col min="1796" max="1796" width="6.08333333333333" style="176" customWidth="1"/>
    <col min="1797" max="1797" width="6.625" style="176" customWidth="1"/>
    <col min="1798" max="1798" width="13.2583333333333" style="176" customWidth="1"/>
    <col min="1799" max="1802" width="8.875" style="176" customWidth="1"/>
    <col min="1803" max="1803" width="6.625" style="176" customWidth="1"/>
    <col min="1804" max="1804" width="12.7583333333333" style="176" customWidth="1"/>
    <col min="1805" max="1808" width="8.875" style="176" customWidth="1"/>
    <col min="1809" max="1809" width="7.5" style="176" customWidth="1"/>
    <col min="1810" max="1810" width="7.875" style="176" customWidth="1"/>
    <col min="1811" max="1813" width="9" style="176" customWidth="1"/>
    <col min="1814" max="1814" width="13.875" style="176" customWidth="1"/>
    <col min="1815" max="1824" width="9" style="176"/>
    <col min="1825" max="2016" width="8.48333333333333" style="176" hidden="1"/>
    <col min="2017" max="2047" width="9" style="176"/>
    <col min="2048" max="2048" width="3.375" style="176" customWidth="1"/>
    <col min="2049" max="2049" width="4.25833333333333" style="176" customWidth="1"/>
    <col min="2050" max="2050" width="8.875" style="176" customWidth="1"/>
    <col min="2051" max="2051" width="19.7583333333333" style="176" customWidth="1"/>
    <col min="2052" max="2052" width="6.08333333333333" style="176" customWidth="1"/>
    <col min="2053" max="2053" width="6.625" style="176" customWidth="1"/>
    <col min="2054" max="2054" width="13.2583333333333" style="176" customWidth="1"/>
    <col min="2055" max="2058" width="8.875" style="176" customWidth="1"/>
    <col min="2059" max="2059" width="6.625" style="176" customWidth="1"/>
    <col min="2060" max="2060" width="12.7583333333333" style="176" customWidth="1"/>
    <col min="2061" max="2064" width="8.875" style="176" customWidth="1"/>
    <col min="2065" max="2065" width="7.5" style="176" customWidth="1"/>
    <col min="2066" max="2066" width="7.875" style="176" customWidth="1"/>
    <col min="2067" max="2069" width="9" style="176" customWidth="1"/>
    <col min="2070" max="2070" width="13.875" style="176" customWidth="1"/>
    <col min="2071" max="2080" width="9" style="176"/>
    <col min="2081" max="2272" width="8.48333333333333" style="176" hidden="1"/>
    <col min="2273" max="2303" width="9" style="176"/>
    <col min="2304" max="2304" width="3.375" style="176" customWidth="1"/>
    <col min="2305" max="2305" width="4.25833333333333" style="176" customWidth="1"/>
    <col min="2306" max="2306" width="8.875" style="176" customWidth="1"/>
    <col min="2307" max="2307" width="19.7583333333333" style="176" customWidth="1"/>
    <col min="2308" max="2308" width="6.08333333333333" style="176" customWidth="1"/>
    <col min="2309" max="2309" width="6.625" style="176" customWidth="1"/>
    <col min="2310" max="2310" width="13.2583333333333" style="176" customWidth="1"/>
    <col min="2311" max="2314" width="8.875" style="176" customWidth="1"/>
    <col min="2315" max="2315" width="6.625" style="176" customWidth="1"/>
    <col min="2316" max="2316" width="12.7583333333333" style="176" customWidth="1"/>
    <col min="2317" max="2320" width="8.875" style="176" customWidth="1"/>
    <col min="2321" max="2321" width="7.5" style="176" customWidth="1"/>
    <col min="2322" max="2322" width="7.875" style="176" customWidth="1"/>
    <col min="2323" max="2325" width="9" style="176" customWidth="1"/>
    <col min="2326" max="2326" width="13.875" style="176" customWidth="1"/>
    <col min="2327" max="2336" width="9" style="176"/>
    <col min="2337" max="2528" width="8.48333333333333" style="176" hidden="1"/>
    <col min="2529" max="2559" width="9" style="176"/>
    <col min="2560" max="2560" width="3.375" style="176" customWidth="1"/>
    <col min="2561" max="2561" width="4.25833333333333" style="176" customWidth="1"/>
    <col min="2562" max="2562" width="8.875" style="176" customWidth="1"/>
    <col min="2563" max="2563" width="19.7583333333333" style="176" customWidth="1"/>
    <col min="2564" max="2564" width="6.08333333333333" style="176" customWidth="1"/>
    <col min="2565" max="2565" width="6.625" style="176" customWidth="1"/>
    <col min="2566" max="2566" width="13.2583333333333" style="176" customWidth="1"/>
    <col min="2567" max="2570" width="8.875" style="176" customWidth="1"/>
    <col min="2571" max="2571" width="6.625" style="176" customWidth="1"/>
    <col min="2572" max="2572" width="12.7583333333333" style="176" customWidth="1"/>
    <col min="2573" max="2576" width="8.875" style="176" customWidth="1"/>
    <col min="2577" max="2577" width="7.5" style="176" customWidth="1"/>
    <col min="2578" max="2578" width="7.875" style="176" customWidth="1"/>
    <col min="2579" max="2581" width="9" style="176" customWidth="1"/>
    <col min="2582" max="2582" width="13.875" style="176" customWidth="1"/>
    <col min="2583" max="2592" width="9" style="176"/>
    <col min="2593" max="2784" width="8.48333333333333" style="176" hidden="1"/>
    <col min="2785" max="2815" width="9" style="176"/>
    <col min="2816" max="2816" width="3.375" style="176" customWidth="1"/>
    <col min="2817" max="2817" width="4.25833333333333" style="176" customWidth="1"/>
    <col min="2818" max="2818" width="8.875" style="176" customWidth="1"/>
    <col min="2819" max="2819" width="19.7583333333333" style="176" customWidth="1"/>
    <col min="2820" max="2820" width="6.08333333333333" style="176" customWidth="1"/>
    <col min="2821" max="2821" width="6.625" style="176" customWidth="1"/>
    <col min="2822" max="2822" width="13.2583333333333" style="176" customWidth="1"/>
    <col min="2823" max="2826" width="8.875" style="176" customWidth="1"/>
    <col min="2827" max="2827" width="6.625" style="176" customWidth="1"/>
    <col min="2828" max="2828" width="12.7583333333333" style="176" customWidth="1"/>
    <col min="2829" max="2832" width="8.875" style="176" customWidth="1"/>
    <col min="2833" max="2833" width="7.5" style="176" customWidth="1"/>
    <col min="2834" max="2834" width="7.875" style="176" customWidth="1"/>
    <col min="2835" max="2837" width="9" style="176" customWidth="1"/>
    <col min="2838" max="2838" width="13.875" style="176" customWidth="1"/>
    <col min="2839" max="2848" width="9" style="176"/>
    <col min="2849" max="3040" width="8.48333333333333" style="176" hidden="1"/>
    <col min="3041" max="3071" width="9" style="176"/>
    <col min="3072" max="3072" width="3.375" style="176" customWidth="1"/>
    <col min="3073" max="3073" width="4.25833333333333" style="176" customWidth="1"/>
    <col min="3074" max="3074" width="8.875" style="176" customWidth="1"/>
    <col min="3075" max="3075" width="19.7583333333333" style="176" customWidth="1"/>
    <col min="3076" max="3076" width="6.08333333333333" style="176" customWidth="1"/>
    <col min="3077" max="3077" width="6.625" style="176" customWidth="1"/>
    <col min="3078" max="3078" width="13.2583333333333" style="176" customWidth="1"/>
    <col min="3079" max="3082" width="8.875" style="176" customWidth="1"/>
    <col min="3083" max="3083" width="6.625" style="176" customWidth="1"/>
    <col min="3084" max="3084" width="12.7583333333333" style="176" customWidth="1"/>
    <col min="3085" max="3088" width="8.875" style="176" customWidth="1"/>
    <col min="3089" max="3089" width="7.5" style="176" customWidth="1"/>
    <col min="3090" max="3090" width="7.875" style="176" customWidth="1"/>
    <col min="3091" max="3093" width="9" style="176" customWidth="1"/>
    <col min="3094" max="3094" width="13.875" style="176" customWidth="1"/>
    <col min="3095" max="3104" width="9" style="176"/>
    <col min="3105" max="3296" width="8.48333333333333" style="176" hidden="1"/>
    <col min="3297" max="3327" width="9" style="176"/>
    <col min="3328" max="3328" width="3.375" style="176" customWidth="1"/>
    <col min="3329" max="3329" width="4.25833333333333" style="176" customWidth="1"/>
    <col min="3330" max="3330" width="8.875" style="176" customWidth="1"/>
    <col min="3331" max="3331" width="19.7583333333333" style="176" customWidth="1"/>
    <col min="3332" max="3332" width="6.08333333333333" style="176" customWidth="1"/>
    <col min="3333" max="3333" width="6.625" style="176" customWidth="1"/>
    <col min="3334" max="3334" width="13.2583333333333" style="176" customWidth="1"/>
    <col min="3335" max="3338" width="8.875" style="176" customWidth="1"/>
    <col min="3339" max="3339" width="6.625" style="176" customWidth="1"/>
    <col min="3340" max="3340" width="12.7583333333333" style="176" customWidth="1"/>
    <col min="3341" max="3344" width="8.875" style="176" customWidth="1"/>
    <col min="3345" max="3345" width="7.5" style="176" customWidth="1"/>
    <col min="3346" max="3346" width="7.875" style="176" customWidth="1"/>
    <col min="3347" max="3349" width="9" style="176" customWidth="1"/>
    <col min="3350" max="3350" width="13.875" style="176" customWidth="1"/>
    <col min="3351" max="3360" width="9" style="176"/>
    <col min="3361" max="3552" width="8.48333333333333" style="176" hidden="1"/>
    <col min="3553" max="3583" width="9" style="176"/>
    <col min="3584" max="3584" width="3.375" style="176" customWidth="1"/>
    <col min="3585" max="3585" width="4.25833333333333" style="176" customWidth="1"/>
    <col min="3586" max="3586" width="8.875" style="176" customWidth="1"/>
    <col min="3587" max="3587" width="19.7583333333333" style="176" customWidth="1"/>
    <col min="3588" max="3588" width="6.08333333333333" style="176" customWidth="1"/>
    <col min="3589" max="3589" width="6.625" style="176" customWidth="1"/>
    <col min="3590" max="3590" width="13.2583333333333" style="176" customWidth="1"/>
    <col min="3591" max="3594" width="8.875" style="176" customWidth="1"/>
    <col min="3595" max="3595" width="6.625" style="176" customWidth="1"/>
    <col min="3596" max="3596" width="12.7583333333333" style="176" customWidth="1"/>
    <col min="3597" max="3600" width="8.875" style="176" customWidth="1"/>
    <col min="3601" max="3601" width="7.5" style="176" customWidth="1"/>
    <col min="3602" max="3602" width="7.875" style="176" customWidth="1"/>
    <col min="3603" max="3605" width="9" style="176" customWidth="1"/>
    <col min="3606" max="3606" width="13.875" style="176" customWidth="1"/>
    <col min="3607" max="3616" width="9" style="176"/>
    <col min="3617" max="3808" width="8.48333333333333" style="176" hidden="1"/>
    <col min="3809" max="3839" width="9" style="176"/>
    <col min="3840" max="3840" width="3.375" style="176" customWidth="1"/>
    <col min="3841" max="3841" width="4.25833333333333" style="176" customWidth="1"/>
    <col min="3842" max="3842" width="8.875" style="176" customWidth="1"/>
    <col min="3843" max="3843" width="19.7583333333333" style="176" customWidth="1"/>
    <col min="3844" max="3844" width="6.08333333333333" style="176" customWidth="1"/>
    <col min="3845" max="3845" width="6.625" style="176" customWidth="1"/>
    <col min="3846" max="3846" width="13.2583333333333" style="176" customWidth="1"/>
    <col min="3847" max="3850" width="8.875" style="176" customWidth="1"/>
    <col min="3851" max="3851" width="6.625" style="176" customWidth="1"/>
    <col min="3852" max="3852" width="12.7583333333333" style="176" customWidth="1"/>
    <col min="3853" max="3856" width="8.875" style="176" customWidth="1"/>
    <col min="3857" max="3857" width="7.5" style="176" customWidth="1"/>
    <col min="3858" max="3858" width="7.875" style="176" customWidth="1"/>
    <col min="3859" max="3861" width="9" style="176" customWidth="1"/>
    <col min="3862" max="3862" width="13.875" style="176" customWidth="1"/>
    <col min="3863" max="3872" width="9" style="176"/>
    <col min="3873" max="4064" width="8.48333333333333" style="176" hidden="1"/>
    <col min="4065" max="4095" width="9" style="176"/>
    <col min="4096" max="4096" width="3.375" style="176" customWidth="1"/>
    <col min="4097" max="4097" width="4.25833333333333" style="176" customWidth="1"/>
    <col min="4098" max="4098" width="8.875" style="176" customWidth="1"/>
    <col min="4099" max="4099" width="19.7583333333333" style="176" customWidth="1"/>
    <col min="4100" max="4100" width="6.08333333333333" style="176" customWidth="1"/>
    <col min="4101" max="4101" width="6.625" style="176" customWidth="1"/>
    <col min="4102" max="4102" width="13.2583333333333" style="176" customWidth="1"/>
    <col min="4103" max="4106" width="8.875" style="176" customWidth="1"/>
    <col min="4107" max="4107" width="6.625" style="176" customWidth="1"/>
    <col min="4108" max="4108" width="12.7583333333333" style="176" customWidth="1"/>
    <col min="4109" max="4112" width="8.875" style="176" customWidth="1"/>
    <col min="4113" max="4113" width="7.5" style="176" customWidth="1"/>
    <col min="4114" max="4114" width="7.875" style="176" customWidth="1"/>
    <col min="4115" max="4117" width="9" style="176" customWidth="1"/>
    <col min="4118" max="4118" width="13.875" style="176" customWidth="1"/>
    <col min="4119" max="4128" width="9" style="176"/>
    <col min="4129" max="4320" width="8.48333333333333" style="176" hidden="1"/>
    <col min="4321" max="4351" width="9" style="176"/>
    <col min="4352" max="4352" width="3.375" style="176" customWidth="1"/>
    <col min="4353" max="4353" width="4.25833333333333" style="176" customWidth="1"/>
    <col min="4354" max="4354" width="8.875" style="176" customWidth="1"/>
    <col min="4355" max="4355" width="19.7583333333333" style="176" customWidth="1"/>
    <col min="4356" max="4356" width="6.08333333333333" style="176" customWidth="1"/>
    <col min="4357" max="4357" width="6.625" style="176" customWidth="1"/>
    <col min="4358" max="4358" width="13.2583333333333" style="176" customWidth="1"/>
    <col min="4359" max="4362" width="8.875" style="176" customWidth="1"/>
    <col min="4363" max="4363" width="6.625" style="176" customWidth="1"/>
    <col min="4364" max="4364" width="12.7583333333333" style="176" customWidth="1"/>
    <col min="4365" max="4368" width="8.875" style="176" customWidth="1"/>
    <col min="4369" max="4369" width="7.5" style="176" customWidth="1"/>
    <col min="4370" max="4370" width="7.875" style="176" customWidth="1"/>
    <col min="4371" max="4373" width="9" style="176" customWidth="1"/>
    <col min="4374" max="4374" width="13.875" style="176" customWidth="1"/>
    <col min="4375" max="4384" width="9" style="176"/>
    <col min="4385" max="4576" width="8.48333333333333" style="176" hidden="1"/>
    <col min="4577" max="4607" width="9" style="176"/>
    <col min="4608" max="4608" width="3.375" style="176" customWidth="1"/>
    <col min="4609" max="4609" width="4.25833333333333" style="176" customWidth="1"/>
    <col min="4610" max="4610" width="8.875" style="176" customWidth="1"/>
    <col min="4611" max="4611" width="19.7583333333333" style="176" customWidth="1"/>
    <col min="4612" max="4612" width="6.08333333333333" style="176" customWidth="1"/>
    <col min="4613" max="4613" width="6.625" style="176" customWidth="1"/>
    <col min="4614" max="4614" width="13.2583333333333" style="176" customWidth="1"/>
    <col min="4615" max="4618" width="8.875" style="176" customWidth="1"/>
    <col min="4619" max="4619" width="6.625" style="176" customWidth="1"/>
    <col min="4620" max="4620" width="12.7583333333333" style="176" customWidth="1"/>
    <col min="4621" max="4624" width="8.875" style="176" customWidth="1"/>
    <col min="4625" max="4625" width="7.5" style="176" customWidth="1"/>
    <col min="4626" max="4626" width="7.875" style="176" customWidth="1"/>
    <col min="4627" max="4629" width="9" style="176" customWidth="1"/>
    <col min="4630" max="4630" width="13.875" style="176" customWidth="1"/>
    <col min="4631" max="4640" width="9" style="176"/>
    <col min="4641" max="4832" width="8.48333333333333" style="176" hidden="1"/>
    <col min="4833" max="4863" width="9" style="176"/>
    <col min="4864" max="4864" width="3.375" style="176" customWidth="1"/>
    <col min="4865" max="4865" width="4.25833333333333" style="176" customWidth="1"/>
    <col min="4866" max="4866" width="8.875" style="176" customWidth="1"/>
    <col min="4867" max="4867" width="19.7583333333333" style="176" customWidth="1"/>
    <col min="4868" max="4868" width="6.08333333333333" style="176" customWidth="1"/>
    <col min="4869" max="4869" width="6.625" style="176" customWidth="1"/>
    <col min="4870" max="4870" width="13.2583333333333" style="176" customWidth="1"/>
    <col min="4871" max="4874" width="8.875" style="176" customWidth="1"/>
    <col min="4875" max="4875" width="6.625" style="176" customWidth="1"/>
    <col min="4876" max="4876" width="12.7583333333333" style="176" customWidth="1"/>
    <col min="4877" max="4880" width="8.875" style="176" customWidth="1"/>
    <col min="4881" max="4881" width="7.5" style="176" customWidth="1"/>
    <col min="4882" max="4882" width="7.875" style="176" customWidth="1"/>
    <col min="4883" max="4885" width="9" style="176" customWidth="1"/>
    <col min="4886" max="4886" width="13.875" style="176" customWidth="1"/>
    <col min="4887" max="4896" width="9" style="176"/>
    <col min="4897" max="5088" width="8.48333333333333" style="176" hidden="1"/>
    <col min="5089" max="5119" width="9" style="176"/>
    <col min="5120" max="5120" width="3.375" style="176" customWidth="1"/>
    <col min="5121" max="5121" width="4.25833333333333" style="176" customWidth="1"/>
    <col min="5122" max="5122" width="8.875" style="176" customWidth="1"/>
    <col min="5123" max="5123" width="19.7583333333333" style="176" customWidth="1"/>
    <col min="5124" max="5124" width="6.08333333333333" style="176" customWidth="1"/>
    <col min="5125" max="5125" width="6.625" style="176" customWidth="1"/>
    <col min="5126" max="5126" width="13.2583333333333" style="176" customWidth="1"/>
    <col min="5127" max="5130" width="8.875" style="176" customWidth="1"/>
    <col min="5131" max="5131" width="6.625" style="176" customWidth="1"/>
    <col min="5132" max="5132" width="12.7583333333333" style="176" customWidth="1"/>
    <col min="5133" max="5136" width="8.875" style="176" customWidth="1"/>
    <col min="5137" max="5137" width="7.5" style="176" customWidth="1"/>
    <col min="5138" max="5138" width="7.875" style="176" customWidth="1"/>
    <col min="5139" max="5141" width="9" style="176" customWidth="1"/>
    <col min="5142" max="5142" width="13.875" style="176" customWidth="1"/>
    <col min="5143" max="5152" width="9" style="176"/>
    <col min="5153" max="5344" width="8.48333333333333" style="176" hidden="1"/>
    <col min="5345" max="5375" width="9" style="176"/>
    <col min="5376" max="5376" width="3.375" style="176" customWidth="1"/>
    <col min="5377" max="5377" width="4.25833333333333" style="176" customWidth="1"/>
    <col min="5378" max="5378" width="8.875" style="176" customWidth="1"/>
    <col min="5379" max="5379" width="19.7583333333333" style="176" customWidth="1"/>
    <col min="5380" max="5380" width="6.08333333333333" style="176" customWidth="1"/>
    <col min="5381" max="5381" width="6.625" style="176" customWidth="1"/>
    <col min="5382" max="5382" width="13.2583333333333" style="176" customWidth="1"/>
    <col min="5383" max="5386" width="8.875" style="176" customWidth="1"/>
    <col min="5387" max="5387" width="6.625" style="176" customWidth="1"/>
    <col min="5388" max="5388" width="12.7583333333333" style="176" customWidth="1"/>
    <col min="5389" max="5392" width="8.875" style="176" customWidth="1"/>
    <col min="5393" max="5393" width="7.5" style="176" customWidth="1"/>
    <col min="5394" max="5394" width="7.875" style="176" customWidth="1"/>
    <col min="5395" max="5397" width="9" style="176" customWidth="1"/>
    <col min="5398" max="5398" width="13.875" style="176" customWidth="1"/>
    <col min="5399" max="5408" width="9" style="176"/>
    <col min="5409" max="5600" width="8.48333333333333" style="176" hidden="1"/>
    <col min="5601" max="5631" width="9" style="176"/>
    <col min="5632" max="5632" width="3.375" style="176" customWidth="1"/>
    <col min="5633" max="5633" width="4.25833333333333" style="176" customWidth="1"/>
    <col min="5634" max="5634" width="8.875" style="176" customWidth="1"/>
    <col min="5635" max="5635" width="19.7583333333333" style="176" customWidth="1"/>
    <col min="5636" max="5636" width="6.08333333333333" style="176" customWidth="1"/>
    <col min="5637" max="5637" width="6.625" style="176" customWidth="1"/>
    <col min="5638" max="5638" width="13.2583333333333" style="176" customWidth="1"/>
    <col min="5639" max="5642" width="8.875" style="176" customWidth="1"/>
    <col min="5643" max="5643" width="6.625" style="176" customWidth="1"/>
    <col min="5644" max="5644" width="12.7583333333333" style="176" customWidth="1"/>
    <col min="5645" max="5648" width="8.875" style="176" customWidth="1"/>
    <col min="5649" max="5649" width="7.5" style="176" customWidth="1"/>
    <col min="5650" max="5650" width="7.875" style="176" customWidth="1"/>
    <col min="5651" max="5653" width="9" style="176" customWidth="1"/>
    <col min="5654" max="5654" width="13.875" style="176" customWidth="1"/>
    <col min="5655" max="5664" width="9" style="176"/>
    <col min="5665" max="5856" width="8.48333333333333" style="176" hidden="1"/>
    <col min="5857" max="5887" width="9" style="176"/>
    <col min="5888" max="5888" width="3.375" style="176" customWidth="1"/>
    <col min="5889" max="5889" width="4.25833333333333" style="176" customWidth="1"/>
    <col min="5890" max="5890" width="8.875" style="176" customWidth="1"/>
    <col min="5891" max="5891" width="19.7583333333333" style="176" customWidth="1"/>
    <col min="5892" max="5892" width="6.08333333333333" style="176" customWidth="1"/>
    <col min="5893" max="5893" width="6.625" style="176" customWidth="1"/>
    <col min="5894" max="5894" width="13.2583333333333" style="176" customWidth="1"/>
    <col min="5895" max="5898" width="8.875" style="176" customWidth="1"/>
    <col min="5899" max="5899" width="6.625" style="176" customWidth="1"/>
    <col min="5900" max="5900" width="12.7583333333333" style="176" customWidth="1"/>
    <col min="5901" max="5904" width="8.875" style="176" customWidth="1"/>
    <col min="5905" max="5905" width="7.5" style="176" customWidth="1"/>
    <col min="5906" max="5906" width="7.875" style="176" customWidth="1"/>
    <col min="5907" max="5909" width="9" style="176" customWidth="1"/>
    <col min="5910" max="5910" width="13.875" style="176" customWidth="1"/>
    <col min="5911" max="5920" width="9" style="176"/>
    <col min="5921" max="6112" width="8.48333333333333" style="176" hidden="1"/>
    <col min="6113" max="6143" width="9" style="176"/>
    <col min="6144" max="6144" width="3.375" style="176" customWidth="1"/>
    <col min="6145" max="6145" width="4.25833333333333" style="176" customWidth="1"/>
    <col min="6146" max="6146" width="8.875" style="176" customWidth="1"/>
    <col min="6147" max="6147" width="19.7583333333333" style="176" customWidth="1"/>
    <col min="6148" max="6148" width="6.08333333333333" style="176" customWidth="1"/>
    <col min="6149" max="6149" width="6.625" style="176" customWidth="1"/>
    <col min="6150" max="6150" width="13.2583333333333" style="176" customWidth="1"/>
    <col min="6151" max="6154" width="8.875" style="176" customWidth="1"/>
    <col min="6155" max="6155" width="6.625" style="176" customWidth="1"/>
    <col min="6156" max="6156" width="12.7583333333333" style="176" customWidth="1"/>
    <col min="6157" max="6160" width="8.875" style="176" customWidth="1"/>
    <col min="6161" max="6161" width="7.5" style="176" customWidth="1"/>
    <col min="6162" max="6162" width="7.875" style="176" customWidth="1"/>
    <col min="6163" max="6165" width="9" style="176" customWidth="1"/>
    <col min="6166" max="6166" width="13.875" style="176" customWidth="1"/>
    <col min="6167" max="6176" width="9" style="176"/>
    <col min="6177" max="6368" width="8.48333333333333" style="176" hidden="1"/>
    <col min="6369" max="6399" width="9" style="176"/>
    <col min="6400" max="6400" width="3.375" style="176" customWidth="1"/>
    <col min="6401" max="6401" width="4.25833333333333" style="176" customWidth="1"/>
    <col min="6402" max="6402" width="8.875" style="176" customWidth="1"/>
    <col min="6403" max="6403" width="19.7583333333333" style="176" customWidth="1"/>
    <col min="6404" max="6404" width="6.08333333333333" style="176" customWidth="1"/>
    <col min="6405" max="6405" width="6.625" style="176" customWidth="1"/>
    <col min="6406" max="6406" width="13.2583333333333" style="176" customWidth="1"/>
    <col min="6407" max="6410" width="8.875" style="176" customWidth="1"/>
    <col min="6411" max="6411" width="6.625" style="176" customWidth="1"/>
    <col min="6412" max="6412" width="12.7583333333333" style="176" customWidth="1"/>
    <col min="6413" max="6416" width="8.875" style="176" customWidth="1"/>
    <col min="6417" max="6417" width="7.5" style="176" customWidth="1"/>
    <col min="6418" max="6418" width="7.875" style="176" customWidth="1"/>
    <col min="6419" max="6421" width="9" style="176" customWidth="1"/>
    <col min="6422" max="6422" width="13.875" style="176" customWidth="1"/>
    <col min="6423" max="6432" width="9" style="176"/>
    <col min="6433" max="6624" width="8.48333333333333" style="176" hidden="1"/>
    <col min="6625" max="6655" width="9" style="176"/>
    <col min="6656" max="6656" width="3.375" style="176" customWidth="1"/>
    <col min="6657" max="6657" width="4.25833333333333" style="176" customWidth="1"/>
    <col min="6658" max="6658" width="8.875" style="176" customWidth="1"/>
    <col min="6659" max="6659" width="19.7583333333333" style="176" customWidth="1"/>
    <col min="6660" max="6660" width="6.08333333333333" style="176" customWidth="1"/>
    <col min="6661" max="6661" width="6.625" style="176" customWidth="1"/>
    <col min="6662" max="6662" width="13.2583333333333" style="176" customWidth="1"/>
    <col min="6663" max="6666" width="8.875" style="176" customWidth="1"/>
    <col min="6667" max="6667" width="6.625" style="176" customWidth="1"/>
    <col min="6668" max="6668" width="12.7583333333333" style="176" customWidth="1"/>
    <col min="6669" max="6672" width="8.875" style="176" customWidth="1"/>
    <col min="6673" max="6673" width="7.5" style="176" customWidth="1"/>
    <col min="6674" max="6674" width="7.875" style="176" customWidth="1"/>
    <col min="6675" max="6677" width="9" style="176" customWidth="1"/>
    <col min="6678" max="6678" width="13.875" style="176" customWidth="1"/>
    <col min="6679" max="6688" width="9" style="176"/>
    <col min="6689" max="6880" width="8.48333333333333" style="176" hidden="1"/>
    <col min="6881" max="6911" width="9" style="176"/>
    <col min="6912" max="6912" width="3.375" style="176" customWidth="1"/>
    <col min="6913" max="6913" width="4.25833333333333" style="176" customWidth="1"/>
    <col min="6914" max="6914" width="8.875" style="176" customWidth="1"/>
    <col min="6915" max="6915" width="19.7583333333333" style="176" customWidth="1"/>
    <col min="6916" max="6916" width="6.08333333333333" style="176" customWidth="1"/>
    <col min="6917" max="6917" width="6.625" style="176" customWidth="1"/>
    <col min="6918" max="6918" width="13.2583333333333" style="176" customWidth="1"/>
    <col min="6919" max="6922" width="8.875" style="176" customWidth="1"/>
    <col min="6923" max="6923" width="6.625" style="176" customWidth="1"/>
    <col min="6924" max="6924" width="12.7583333333333" style="176" customWidth="1"/>
    <col min="6925" max="6928" width="8.875" style="176" customWidth="1"/>
    <col min="6929" max="6929" width="7.5" style="176" customWidth="1"/>
    <col min="6930" max="6930" width="7.875" style="176" customWidth="1"/>
    <col min="6931" max="6933" width="9" style="176" customWidth="1"/>
    <col min="6934" max="6934" width="13.875" style="176" customWidth="1"/>
    <col min="6935" max="6944" width="9" style="176"/>
    <col min="6945" max="7136" width="8.48333333333333" style="176" hidden="1"/>
    <col min="7137" max="7167" width="9" style="176"/>
    <col min="7168" max="7168" width="3.375" style="176" customWidth="1"/>
    <col min="7169" max="7169" width="4.25833333333333" style="176" customWidth="1"/>
    <col min="7170" max="7170" width="8.875" style="176" customWidth="1"/>
    <col min="7171" max="7171" width="19.7583333333333" style="176" customWidth="1"/>
    <col min="7172" max="7172" width="6.08333333333333" style="176" customWidth="1"/>
    <col min="7173" max="7173" width="6.625" style="176" customWidth="1"/>
    <col min="7174" max="7174" width="13.2583333333333" style="176" customWidth="1"/>
    <col min="7175" max="7178" width="8.875" style="176" customWidth="1"/>
    <col min="7179" max="7179" width="6.625" style="176" customWidth="1"/>
    <col min="7180" max="7180" width="12.7583333333333" style="176" customWidth="1"/>
    <col min="7181" max="7184" width="8.875" style="176" customWidth="1"/>
    <col min="7185" max="7185" width="7.5" style="176" customWidth="1"/>
    <col min="7186" max="7186" width="7.875" style="176" customWidth="1"/>
    <col min="7187" max="7189" width="9" style="176" customWidth="1"/>
    <col min="7190" max="7190" width="13.875" style="176" customWidth="1"/>
    <col min="7191" max="7200" width="9" style="176"/>
    <col min="7201" max="7392" width="8.48333333333333" style="176" hidden="1"/>
    <col min="7393" max="7423" width="9" style="176"/>
    <col min="7424" max="7424" width="3.375" style="176" customWidth="1"/>
    <col min="7425" max="7425" width="4.25833333333333" style="176" customWidth="1"/>
    <col min="7426" max="7426" width="8.875" style="176" customWidth="1"/>
    <col min="7427" max="7427" width="19.7583333333333" style="176" customWidth="1"/>
    <col min="7428" max="7428" width="6.08333333333333" style="176" customWidth="1"/>
    <col min="7429" max="7429" width="6.625" style="176" customWidth="1"/>
    <col min="7430" max="7430" width="13.2583333333333" style="176" customWidth="1"/>
    <col min="7431" max="7434" width="8.875" style="176" customWidth="1"/>
    <col min="7435" max="7435" width="6.625" style="176" customWidth="1"/>
    <col min="7436" max="7436" width="12.7583333333333" style="176" customWidth="1"/>
    <col min="7437" max="7440" width="8.875" style="176" customWidth="1"/>
    <col min="7441" max="7441" width="7.5" style="176" customWidth="1"/>
    <col min="7442" max="7442" width="7.875" style="176" customWidth="1"/>
    <col min="7443" max="7445" width="9" style="176" customWidth="1"/>
    <col min="7446" max="7446" width="13.875" style="176" customWidth="1"/>
    <col min="7447" max="7456" width="9" style="176"/>
    <col min="7457" max="7648" width="8.48333333333333" style="176" hidden="1"/>
    <col min="7649" max="7679" width="9" style="176"/>
    <col min="7680" max="7680" width="3.375" style="176" customWidth="1"/>
    <col min="7681" max="7681" width="4.25833333333333" style="176" customWidth="1"/>
    <col min="7682" max="7682" width="8.875" style="176" customWidth="1"/>
    <col min="7683" max="7683" width="19.7583333333333" style="176" customWidth="1"/>
    <col min="7684" max="7684" width="6.08333333333333" style="176" customWidth="1"/>
    <col min="7685" max="7685" width="6.625" style="176" customWidth="1"/>
    <col min="7686" max="7686" width="13.2583333333333" style="176" customWidth="1"/>
    <col min="7687" max="7690" width="8.875" style="176" customWidth="1"/>
    <col min="7691" max="7691" width="6.625" style="176" customWidth="1"/>
    <col min="7692" max="7692" width="12.7583333333333" style="176" customWidth="1"/>
    <col min="7693" max="7696" width="8.875" style="176" customWidth="1"/>
    <col min="7697" max="7697" width="7.5" style="176" customWidth="1"/>
    <col min="7698" max="7698" width="7.875" style="176" customWidth="1"/>
    <col min="7699" max="7701" width="9" style="176" customWidth="1"/>
    <col min="7702" max="7702" width="13.875" style="176" customWidth="1"/>
    <col min="7703" max="7712" width="9" style="176"/>
    <col min="7713" max="7904" width="8.48333333333333" style="176" hidden="1"/>
    <col min="7905" max="7935" width="9" style="176"/>
    <col min="7936" max="7936" width="3.375" style="176" customWidth="1"/>
    <col min="7937" max="7937" width="4.25833333333333" style="176" customWidth="1"/>
    <col min="7938" max="7938" width="8.875" style="176" customWidth="1"/>
    <col min="7939" max="7939" width="19.7583333333333" style="176" customWidth="1"/>
    <col min="7940" max="7940" width="6.08333333333333" style="176" customWidth="1"/>
    <col min="7941" max="7941" width="6.625" style="176" customWidth="1"/>
    <col min="7942" max="7942" width="13.2583333333333" style="176" customWidth="1"/>
    <col min="7943" max="7946" width="8.875" style="176" customWidth="1"/>
    <col min="7947" max="7947" width="6.625" style="176" customWidth="1"/>
    <col min="7948" max="7948" width="12.7583333333333" style="176" customWidth="1"/>
    <col min="7949" max="7952" width="8.875" style="176" customWidth="1"/>
    <col min="7953" max="7953" width="7.5" style="176" customWidth="1"/>
    <col min="7954" max="7954" width="7.875" style="176" customWidth="1"/>
    <col min="7955" max="7957" width="9" style="176" customWidth="1"/>
    <col min="7958" max="7958" width="13.875" style="176" customWidth="1"/>
    <col min="7959" max="7968" width="9" style="176"/>
    <col min="7969" max="8160" width="8.48333333333333" style="176" hidden="1"/>
    <col min="8161" max="8191" width="9" style="176"/>
    <col min="8192" max="8192" width="3.375" style="176" customWidth="1"/>
    <col min="8193" max="8193" width="4.25833333333333" style="176" customWidth="1"/>
    <col min="8194" max="8194" width="8.875" style="176" customWidth="1"/>
    <col min="8195" max="8195" width="19.7583333333333" style="176" customWidth="1"/>
    <col min="8196" max="8196" width="6.08333333333333" style="176" customWidth="1"/>
    <col min="8197" max="8197" width="6.625" style="176" customWidth="1"/>
    <col min="8198" max="8198" width="13.2583333333333" style="176" customWidth="1"/>
    <col min="8199" max="8202" width="8.875" style="176" customWidth="1"/>
    <col min="8203" max="8203" width="6.625" style="176" customWidth="1"/>
    <col min="8204" max="8204" width="12.7583333333333" style="176" customWidth="1"/>
    <col min="8205" max="8208" width="8.875" style="176" customWidth="1"/>
    <col min="8209" max="8209" width="7.5" style="176" customWidth="1"/>
    <col min="8210" max="8210" width="7.875" style="176" customWidth="1"/>
    <col min="8211" max="8213" width="9" style="176" customWidth="1"/>
    <col min="8214" max="8214" width="13.875" style="176" customWidth="1"/>
    <col min="8215" max="8224" width="9" style="176"/>
    <col min="8225" max="8416" width="8.48333333333333" style="176" hidden="1"/>
    <col min="8417" max="8447" width="9" style="176"/>
    <col min="8448" max="8448" width="3.375" style="176" customWidth="1"/>
    <col min="8449" max="8449" width="4.25833333333333" style="176" customWidth="1"/>
    <col min="8450" max="8450" width="8.875" style="176" customWidth="1"/>
    <col min="8451" max="8451" width="19.7583333333333" style="176" customWidth="1"/>
    <col min="8452" max="8452" width="6.08333333333333" style="176" customWidth="1"/>
    <col min="8453" max="8453" width="6.625" style="176" customWidth="1"/>
    <col min="8454" max="8454" width="13.2583333333333" style="176" customWidth="1"/>
    <col min="8455" max="8458" width="8.875" style="176" customWidth="1"/>
    <col min="8459" max="8459" width="6.625" style="176" customWidth="1"/>
    <col min="8460" max="8460" width="12.7583333333333" style="176" customWidth="1"/>
    <col min="8461" max="8464" width="8.875" style="176" customWidth="1"/>
    <col min="8465" max="8465" width="7.5" style="176" customWidth="1"/>
    <col min="8466" max="8466" width="7.875" style="176" customWidth="1"/>
    <col min="8467" max="8469" width="9" style="176" customWidth="1"/>
    <col min="8470" max="8470" width="13.875" style="176" customWidth="1"/>
    <col min="8471" max="8480" width="9" style="176"/>
    <col min="8481" max="8672" width="8.48333333333333" style="176" hidden="1"/>
    <col min="8673" max="8703" width="9" style="176"/>
    <col min="8704" max="8704" width="3.375" style="176" customWidth="1"/>
    <col min="8705" max="8705" width="4.25833333333333" style="176" customWidth="1"/>
    <col min="8706" max="8706" width="8.875" style="176" customWidth="1"/>
    <col min="8707" max="8707" width="19.7583333333333" style="176" customWidth="1"/>
    <col min="8708" max="8708" width="6.08333333333333" style="176" customWidth="1"/>
    <col min="8709" max="8709" width="6.625" style="176" customWidth="1"/>
    <col min="8710" max="8710" width="13.2583333333333" style="176" customWidth="1"/>
    <col min="8711" max="8714" width="8.875" style="176" customWidth="1"/>
    <col min="8715" max="8715" width="6.625" style="176" customWidth="1"/>
    <col min="8716" max="8716" width="12.7583333333333" style="176" customWidth="1"/>
    <col min="8717" max="8720" width="8.875" style="176" customWidth="1"/>
    <col min="8721" max="8721" width="7.5" style="176" customWidth="1"/>
    <col min="8722" max="8722" width="7.875" style="176" customWidth="1"/>
    <col min="8723" max="8725" width="9" style="176" customWidth="1"/>
    <col min="8726" max="8726" width="13.875" style="176" customWidth="1"/>
    <col min="8727" max="8736" width="9" style="176"/>
    <col min="8737" max="8928" width="8.48333333333333" style="176" hidden="1"/>
    <col min="8929" max="8959" width="9" style="176"/>
    <col min="8960" max="8960" width="3.375" style="176" customWidth="1"/>
    <col min="8961" max="8961" width="4.25833333333333" style="176" customWidth="1"/>
    <col min="8962" max="8962" width="8.875" style="176" customWidth="1"/>
    <col min="8963" max="8963" width="19.7583333333333" style="176" customWidth="1"/>
    <col min="8964" max="8964" width="6.08333333333333" style="176" customWidth="1"/>
    <col min="8965" max="8965" width="6.625" style="176" customWidth="1"/>
    <col min="8966" max="8966" width="13.2583333333333" style="176" customWidth="1"/>
    <col min="8967" max="8970" width="8.875" style="176" customWidth="1"/>
    <col min="8971" max="8971" width="6.625" style="176" customWidth="1"/>
    <col min="8972" max="8972" width="12.7583333333333" style="176" customWidth="1"/>
    <col min="8973" max="8976" width="8.875" style="176" customWidth="1"/>
    <col min="8977" max="8977" width="7.5" style="176" customWidth="1"/>
    <col min="8978" max="8978" width="7.875" style="176" customWidth="1"/>
    <col min="8979" max="8981" width="9" style="176" customWidth="1"/>
    <col min="8982" max="8982" width="13.875" style="176" customWidth="1"/>
    <col min="8983" max="8992" width="9" style="176"/>
    <col min="8993" max="9184" width="8.48333333333333" style="176" hidden="1"/>
    <col min="9185" max="9215" width="9" style="176"/>
    <col min="9216" max="9216" width="3.375" style="176" customWidth="1"/>
    <col min="9217" max="9217" width="4.25833333333333" style="176" customWidth="1"/>
    <col min="9218" max="9218" width="8.875" style="176" customWidth="1"/>
    <col min="9219" max="9219" width="19.7583333333333" style="176" customWidth="1"/>
    <col min="9220" max="9220" width="6.08333333333333" style="176" customWidth="1"/>
    <col min="9221" max="9221" width="6.625" style="176" customWidth="1"/>
    <col min="9222" max="9222" width="13.2583333333333" style="176" customWidth="1"/>
    <col min="9223" max="9226" width="8.875" style="176" customWidth="1"/>
    <col min="9227" max="9227" width="6.625" style="176" customWidth="1"/>
    <col min="9228" max="9228" width="12.7583333333333" style="176" customWidth="1"/>
    <col min="9229" max="9232" width="8.875" style="176" customWidth="1"/>
    <col min="9233" max="9233" width="7.5" style="176" customWidth="1"/>
    <col min="9234" max="9234" width="7.875" style="176" customWidth="1"/>
    <col min="9235" max="9237" width="9" style="176" customWidth="1"/>
    <col min="9238" max="9238" width="13.875" style="176" customWidth="1"/>
    <col min="9239" max="9248" width="9" style="176"/>
    <col min="9249" max="9440" width="8.48333333333333" style="176" hidden="1"/>
    <col min="9441" max="9471" width="9" style="176"/>
    <col min="9472" max="9472" width="3.375" style="176" customWidth="1"/>
    <col min="9473" max="9473" width="4.25833333333333" style="176" customWidth="1"/>
    <col min="9474" max="9474" width="8.875" style="176" customWidth="1"/>
    <col min="9475" max="9475" width="19.7583333333333" style="176" customWidth="1"/>
    <col min="9476" max="9476" width="6.08333333333333" style="176" customWidth="1"/>
    <col min="9477" max="9477" width="6.625" style="176" customWidth="1"/>
    <col min="9478" max="9478" width="13.2583333333333" style="176" customWidth="1"/>
    <col min="9479" max="9482" width="8.875" style="176" customWidth="1"/>
    <col min="9483" max="9483" width="6.625" style="176" customWidth="1"/>
    <col min="9484" max="9484" width="12.7583333333333" style="176" customWidth="1"/>
    <col min="9485" max="9488" width="8.875" style="176" customWidth="1"/>
    <col min="9489" max="9489" width="7.5" style="176" customWidth="1"/>
    <col min="9490" max="9490" width="7.875" style="176" customWidth="1"/>
    <col min="9491" max="9493" width="9" style="176" customWidth="1"/>
    <col min="9494" max="9494" width="13.875" style="176" customWidth="1"/>
    <col min="9495" max="9504" width="9" style="176"/>
    <col min="9505" max="9696" width="8.48333333333333" style="176" hidden="1"/>
    <col min="9697" max="9727" width="9" style="176"/>
    <col min="9728" max="9728" width="3.375" style="176" customWidth="1"/>
    <col min="9729" max="9729" width="4.25833333333333" style="176" customWidth="1"/>
    <col min="9730" max="9730" width="8.875" style="176" customWidth="1"/>
    <col min="9731" max="9731" width="19.7583333333333" style="176" customWidth="1"/>
    <col min="9732" max="9732" width="6.08333333333333" style="176" customWidth="1"/>
    <col min="9733" max="9733" width="6.625" style="176" customWidth="1"/>
    <col min="9734" max="9734" width="13.2583333333333" style="176" customWidth="1"/>
    <col min="9735" max="9738" width="8.875" style="176" customWidth="1"/>
    <col min="9739" max="9739" width="6.625" style="176" customWidth="1"/>
    <col min="9740" max="9740" width="12.7583333333333" style="176" customWidth="1"/>
    <col min="9741" max="9744" width="8.875" style="176" customWidth="1"/>
    <col min="9745" max="9745" width="7.5" style="176" customWidth="1"/>
    <col min="9746" max="9746" width="7.875" style="176" customWidth="1"/>
    <col min="9747" max="9749" width="9" style="176" customWidth="1"/>
    <col min="9750" max="9750" width="13.875" style="176" customWidth="1"/>
    <col min="9751" max="9760" width="9" style="176"/>
    <col min="9761" max="9952" width="8.48333333333333" style="176" hidden="1"/>
    <col min="9953" max="9983" width="9" style="176"/>
    <col min="9984" max="9984" width="3.375" style="176" customWidth="1"/>
    <col min="9985" max="9985" width="4.25833333333333" style="176" customWidth="1"/>
    <col min="9986" max="9986" width="8.875" style="176" customWidth="1"/>
    <col min="9987" max="9987" width="19.7583333333333" style="176" customWidth="1"/>
    <col min="9988" max="9988" width="6.08333333333333" style="176" customWidth="1"/>
    <col min="9989" max="9989" width="6.625" style="176" customWidth="1"/>
    <col min="9990" max="9990" width="13.2583333333333" style="176" customWidth="1"/>
    <col min="9991" max="9994" width="8.875" style="176" customWidth="1"/>
    <col min="9995" max="9995" width="6.625" style="176" customWidth="1"/>
    <col min="9996" max="9996" width="12.7583333333333" style="176" customWidth="1"/>
    <col min="9997" max="10000" width="8.875" style="176" customWidth="1"/>
    <col min="10001" max="10001" width="7.5" style="176" customWidth="1"/>
    <col min="10002" max="10002" width="7.875" style="176" customWidth="1"/>
    <col min="10003" max="10005" width="9" style="176" customWidth="1"/>
    <col min="10006" max="10006" width="13.875" style="176" customWidth="1"/>
    <col min="10007" max="10016" width="9" style="176"/>
    <col min="10017" max="10208" width="8.48333333333333" style="176" hidden="1"/>
    <col min="10209" max="10239" width="9" style="176"/>
    <col min="10240" max="10240" width="3.375" style="176" customWidth="1"/>
    <col min="10241" max="10241" width="4.25833333333333" style="176" customWidth="1"/>
    <col min="10242" max="10242" width="8.875" style="176" customWidth="1"/>
    <col min="10243" max="10243" width="19.7583333333333" style="176" customWidth="1"/>
    <col min="10244" max="10244" width="6.08333333333333" style="176" customWidth="1"/>
    <col min="10245" max="10245" width="6.625" style="176" customWidth="1"/>
    <col min="10246" max="10246" width="13.2583333333333" style="176" customWidth="1"/>
    <col min="10247" max="10250" width="8.875" style="176" customWidth="1"/>
    <col min="10251" max="10251" width="6.625" style="176" customWidth="1"/>
    <col min="10252" max="10252" width="12.7583333333333" style="176" customWidth="1"/>
    <col min="10253" max="10256" width="8.875" style="176" customWidth="1"/>
    <col min="10257" max="10257" width="7.5" style="176" customWidth="1"/>
    <col min="10258" max="10258" width="7.875" style="176" customWidth="1"/>
    <col min="10259" max="10261" width="9" style="176" customWidth="1"/>
    <col min="10262" max="10262" width="13.875" style="176" customWidth="1"/>
    <col min="10263" max="10272" width="9" style="176"/>
    <col min="10273" max="10464" width="8.48333333333333" style="176" hidden="1"/>
    <col min="10465" max="10495" width="9" style="176"/>
    <col min="10496" max="10496" width="3.375" style="176" customWidth="1"/>
    <col min="10497" max="10497" width="4.25833333333333" style="176" customWidth="1"/>
    <col min="10498" max="10498" width="8.875" style="176" customWidth="1"/>
    <col min="10499" max="10499" width="19.7583333333333" style="176" customWidth="1"/>
    <col min="10500" max="10500" width="6.08333333333333" style="176" customWidth="1"/>
    <col min="10501" max="10501" width="6.625" style="176" customWidth="1"/>
    <col min="10502" max="10502" width="13.2583333333333" style="176" customWidth="1"/>
    <col min="10503" max="10506" width="8.875" style="176" customWidth="1"/>
    <col min="10507" max="10507" width="6.625" style="176" customWidth="1"/>
    <col min="10508" max="10508" width="12.7583333333333" style="176" customWidth="1"/>
    <col min="10509" max="10512" width="8.875" style="176" customWidth="1"/>
    <col min="10513" max="10513" width="7.5" style="176" customWidth="1"/>
    <col min="10514" max="10514" width="7.875" style="176" customWidth="1"/>
    <col min="10515" max="10517" width="9" style="176" customWidth="1"/>
    <col min="10518" max="10518" width="13.875" style="176" customWidth="1"/>
    <col min="10519" max="10528" width="9" style="176"/>
    <col min="10529" max="10720" width="8.48333333333333" style="176" hidden="1"/>
    <col min="10721" max="10751" width="9" style="176"/>
    <col min="10752" max="10752" width="3.375" style="176" customWidth="1"/>
    <col min="10753" max="10753" width="4.25833333333333" style="176" customWidth="1"/>
    <col min="10754" max="10754" width="8.875" style="176" customWidth="1"/>
    <col min="10755" max="10755" width="19.7583333333333" style="176" customWidth="1"/>
    <col min="10756" max="10756" width="6.08333333333333" style="176" customWidth="1"/>
    <col min="10757" max="10757" width="6.625" style="176" customWidth="1"/>
    <col min="10758" max="10758" width="13.2583333333333" style="176" customWidth="1"/>
    <col min="10759" max="10762" width="8.875" style="176" customWidth="1"/>
    <col min="10763" max="10763" width="6.625" style="176" customWidth="1"/>
    <col min="10764" max="10764" width="12.7583333333333" style="176" customWidth="1"/>
    <col min="10765" max="10768" width="8.875" style="176" customWidth="1"/>
    <col min="10769" max="10769" width="7.5" style="176" customWidth="1"/>
    <col min="10770" max="10770" width="7.875" style="176" customWidth="1"/>
    <col min="10771" max="10773" width="9" style="176" customWidth="1"/>
    <col min="10774" max="10774" width="13.875" style="176" customWidth="1"/>
    <col min="10775" max="10784" width="9" style="176"/>
    <col min="10785" max="10976" width="8.48333333333333" style="176" hidden="1"/>
    <col min="10977" max="11007" width="9" style="176"/>
    <col min="11008" max="11008" width="3.375" style="176" customWidth="1"/>
    <col min="11009" max="11009" width="4.25833333333333" style="176" customWidth="1"/>
    <col min="11010" max="11010" width="8.875" style="176" customWidth="1"/>
    <col min="11011" max="11011" width="19.7583333333333" style="176" customWidth="1"/>
    <col min="11012" max="11012" width="6.08333333333333" style="176" customWidth="1"/>
    <col min="11013" max="11013" width="6.625" style="176" customWidth="1"/>
    <col min="11014" max="11014" width="13.2583333333333" style="176" customWidth="1"/>
    <col min="11015" max="11018" width="8.875" style="176" customWidth="1"/>
    <col min="11019" max="11019" width="6.625" style="176" customWidth="1"/>
    <col min="11020" max="11020" width="12.7583333333333" style="176" customWidth="1"/>
    <col min="11021" max="11024" width="8.875" style="176" customWidth="1"/>
    <col min="11025" max="11025" width="7.5" style="176" customWidth="1"/>
    <col min="11026" max="11026" width="7.875" style="176" customWidth="1"/>
    <col min="11027" max="11029" width="9" style="176" customWidth="1"/>
    <col min="11030" max="11030" width="13.875" style="176" customWidth="1"/>
    <col min="11031" max="11040" width="9" style="176"/>
    <col min="11041" max="11232" width="8.48333333333333" style="176" hidden="1"/>
    <col min="11233" max="11263" width="9" style="176"/>
    <col min="11264" max="11264" width="3.375" style="176" customWidth="1"/>
    <col min="11265" max="11265" width="4.25833333333333" style="176" customWidth="1"/>
    <col min="11266" max="11266" width="8.875" style="176" customWidth="1"/>
    <col min="11267" max="11267" width="19.7583333333333" style="176" customWidth="1"/>
    <col min="11268" max="11268" width="6.08333333333333" style="176" customWidth="1"/>
    <col min="11269" max="11269" width="6.625" style="176" customWidth="1"/>
    <col min="11270" max="11270" width="13.2583333333333" style="176" customWidth="1"/>
    <col min="11271" max="11274" width="8.875" style="176" customWidth="1"/>
    <col min="11275" max="11275" width="6.625" style="176" customWidth="1"/>
    <col min="11276" max="11276" width="12.7583333333333" style="176" customWidth="1"/>
    <col min="11277" max="11280" width="8.875" style="176" customWidth="1"/>
    <col min="11281" max="11281" width="7.5" style="176" customWidth="1"/>
    <col min="11282" max="11282" width="7.875" style="176" customWidth="1"/>
    <col min="11283" max="11285" width="9" style="176" customWidth="1"/>
    <col min="11286" max="11286" width="13.875" style="176" customWidth="1"/>
    <col min="11287" max="11296" width="9" style="176"/>
    <col min="11297" max="11488" width="8.48333333333333" style="176" hidden="1"/>
    <col min="11489" max="11519" width="9" style="176"/>
    <col min="11520" max="11520" width="3.375" style="176" customWidth="1"/>
    <col min="11521" max="11521" width="4.25833333333333" style="176" customWidth="1"/>
    <col min="11522" max="11522" width="8.875" style="176" customWidth="1"/>
    <col min="11523" max="11523" width="19.7583333333333" style="176" customWidth="1"/>
    <col min="11524" max="11524" width="6.08333333333333" style="176" customWidth="1"/>
    <col min="11525" max="11525" width="6.625" style="176" customWidth="1"/>
    <col min="11526" max="11526" width="13.2583333333333" style="176" customWidth="1"/>
    <col min="11527" max="11530" width="8.875" style="176" customWidth="1"/>
    <col min="11531" max="11531" width="6.625" style="176" customWidth="1"/>
    <col min="11532" max="11532" width="12.7583333333333" style="176" customWidth="1"/>
    <col min="11533" max="11536" width="8.875" style="176" customWidth="1"/>
    <col min="11537" max="11537" width="7.5" style="176" customWidth="1"/>
    <col min="11538" max="11538" width="7.875" style="176" customWidth="1"/>
    <col min="11539" max="11541" width="9" style="176" customWidth="1"/>
    <col min="11542" max="11542" width="13.875" style="176" customWidth="1"/>
    <col min="11543" max="11552" width="9" style="176"/>
    <col min="11553" max="11744" width="8.48333333333333" style="176" hidden="1"/>
    <col min="11745" max="11775" width="9" style="176"/>
    <col min="11776" max="11776" width="3.375" style="176" customWidth="1"/>
    <col min="11777" max="11777" width="4.25833333333333" style="176" customWidth="1"/>
    <col min="11778" max="11778" width="8.875" style="176" customWidth="1"/>
    <col min="11779" max="11779" width="19.7583333333333" style="176" customWidth="1"/>
    <col min="11780" max="11780" width="6.08333333333333" style="176" customWidth="1"/>
    <col min="11781" max="11781" width="6.625" style="176" customWidth="1"/>
    <col min="11782" max="11782" width="13.2583333333333" style="176" customWidth="1"/>
    <col min="11783" max="11786" width="8.875" style="176" customWidth="1"/>
    <col min="11787" max="11787" width="6.625" style="176" customWidth="1"/>
    <col min="11788" max="11788" width="12.7583333333333" style="176" customWidth="1"/>
    <col min="11789" max="11792" width="8.875" style="176" customWidth="1"/>
    <col min="11793" max="11793" width="7.5" style="176" customWidth="1"/>
    <col min="11794" max="11794" width="7.875" style="176" customWidth="1"/>
    <col min="11795" max="11797" width="9" style="176" customWidth="1"/>
    <col min="11798" max="11798" width="13.875" style="176" customWidth="1"/>
    <col min="11799" max="11808" width="9" style="176"/>
    <col min="11809" max="12000" width="8.48333333333333" style="176" hidden="1"/>
    <col min="12001" max="12031" width="9" style="176"/>
    <col min="12032" max="12032" width="3.375" style="176" customWidth="1"/>
    <col min="12033" max="12033" width="4.25833333333333" style="176" customWidth="1"/>
    <col min="12034" max="12034" width="8.875" style="176" customWidth="1"/>
    <col min="12035" max="12035" width="19.7583333333333" style="176" customWidth="1"/>
    <col min="12036" max="12036" width="6.08333333333333" style="176" customWidth="1"/>
    <col min="12037" max="12037" width="6.625" style="176" customWidth="1"/>
    <col min="12038" max="12038" width="13.2583333333333" style="176" customWidth="1"/>
    <col min="12039" max="12042" width="8.875" style="176" customWidth="1"/>
    <col min="12043" max="12043" width="6.625" style="176" customWidth="1"/>
    <col min="12044" max="12044" width="12.7583333333333" style="176" customWidth="1"/>
    <col min="12045" max="12048" width="8.875" style="176" customWidth="1"/>
    <col min="12049" max="12049" width="7.5" style="176" customWidth="1"/>
    <col min="12050" max="12050" width="7.875" style="176" customWidth="1"/>
    <col min="12051" max="12053" width="9" style="176" customWidth="1"/>
    <col min="12054" max="12054" width="13.875" style="176" customWidth="1"/>
    <col min="12055" max="12064" width="9" style="176"/>
    <col min="12065" max="12256" width="8.48333333333333" style="176" hidden="1"/>
    <col min="12257" max="12287" width="9" style="176"/>
    <col min="12288" max="12288" width="3.375" style="176" customWidth="1"/>
    <col min="12289" max="12289" width="4.25833333333333" style="176" customWidth="1"/>
    <col min="12290" max="12290" width="8.875" style="176" customWidth="1"/>
    <col min="12291" max="12291" width="19.7583333333333" style="176" customWidth="1"/>
    <col min="12292" max="12292" width="6.08333333333333" style="176" customWidth="1"/>
    <col min="12293" max="12293" width="6.625" style="176" customWidth="1"/>
    <col min="12294" max="12294" width="13.2583333333333" style="176" customWidth="1"/>
    <col min="12295" max="12298" width="8.875" style="176" customWidth="1"/>
    <col min="12299" max="12299" width="6.625" style="176" customWidth="1"/>
    <col min="12300" max="12300" width="12.7583333333333" style="176" customWidth="1"/>
    <col min="12301" max="12304" width="8.875" style="176" customWidth="1"/>
    <col min="12305" max="12305" width="7.5" style="176" customWidth="1"/>
    <col min="12306" max="12306" width="7.875" style="176" customWidth="1"/>
    <col min="12307" max="12309" width="9" style="176" customWidth="1"/>
    <col min="12310" max="12310" width="13.875" style="176" customWidth="1"/>
    <col min="12311" max="12320" width="9" style="176"/>
    <col min="12321" max="12512" width="8.48333333333333" style="176" hidden="1"/>
    <col min="12513" max="12543" width="9" style="176"/>
    <col min="12544" max="12544" width="3.375" style="176" customWidth="1"/>
    <col min="12545" max="12545" width="4.25833333333333" style="176" customWidth="1"/>
    <col min="12546" max="12546" width="8.875" style="176" customWidth="1"/>
    <col min="12547" max="12547" width="19.7583333333333" style="176" customWidth="1"/>
    <col min="12548" max="12548" width="6.08333333333333" style="176" customWidth="1"/>
    <col min="12549" max="12549" width="6.625" style="176" customWidth="1"/>
    <col min="12550" max="12550" width="13.2583333333333" style="176" customWidth="1"/>
    <col min="12551" max="12554" width="8.875" style="176" customWidth="1"/>
    <col min="12555" max="12555" width="6.625" style="176" customWidth="1"/>
    <col min="12556" max="12556" width="12.7583333333333" style="176" customWidth="1"/>
    <col min="12557" max="12560" width="8.875" style="176" customWidth="1"/>
    <col min="12561" max="12561" width="7.5" style="176" customWidth="1"/>
    <col min="12562" max="12562" width="7.875" style="176" customWidth="1"/>
    <col min="12563" max="12565" width="9" style="176" customWidth="1"/>
    <col min="12566" max="12566" width="13.875" style="176" customWidth="1"/>
    <col min="12567" max="12576" width="9" style="176"/>
    <col min="12577" max="12768" width="8.48333333333333" style="176" hidden="1"/>
    <col min="12769" max="12799" width="9" style="176"/>
    <col min="12800" max="12800" width="3.375" style="176" customWidth="1"/>
    <col min="12801" max="12801" width="4.25833333333333" style="176" customWidth="1"/>
    <col min="12802" max="12802" width="8.875" style="176" customWidth="1"/>
    <col min="12803" max="12803" width="19.7583333333333" style="176" customWidth="1"/>
    <col min="12804" max="12804" width="6.08333333333333" style="176" customWidth="1"/>
    <col min="12805" max="12805" width="6.625" style="176" customWidth="1"/>
    <col min="12806" max="12806" width="13.2583333333333" style="176" customWidth="1"/>
    <col min="12807" max="12810" width="8.875" style="176" customWidth="1"/>
    <col min="12811" max="12811" width="6.625" style="176" customWidth="1"/>
    <col min="12812" max="12812" width="12.7583333333333" style="176" customWidth="1"/>
    <col min="12813" max="12816" width="8.875" style="176" customWidth="1"/>
    <col min="12817" max="12817" width="7.5" style="176" customWidth="1"/>
    <col min="12818" max="12818" width="7.875" style="176" customWidth="1"/>
    <col min="12819" max="12821" width="9" style="176" customWidth="1"/>
    <col min="12822" max="12822" width="13.875" style="176" customWidth="1"/>
    <col min="12823" max="12832" width="9" style="176"/>
    <col min="12833" max="13024" width="8.48333333333333" style="176" hidden="1"/>
    <col min="13025" max="13055" width="9" style="176"/>
    <col min="13056" max="13056" width="3.375" style="176" customWidth="1"/>
    <col min="13057" max="13057" width="4.25833333333333" style="176" customWidth="1"/>
    <col min="13058" max="13058" width="8.875" style="176" customWidth="1"/>
    <col min="13059" max="13059" width="19.7583333333333" style="176" customWidth="1"/>
    <col min="13060" max="13060" width="6.08333333333333" style="176" customWidth="1"/>
    <col min="13061" max="13061" width="6.625" style="176" customWidth="1"/>
    <col min="13062" max="13062" width="13.2583333333333" style="176" customWidth="1"/>
    <col min="13063" max="13066" width="8.875" style="176" customWidth="1"/>
    <col min="13067" max="13067" width="6.625" style="176" customWidth="1"/>
    <col min="13068" max="13068" width="12.7583333333333" style="176" customWidth="1"/>
    <col min="13069" max="13072" width="8.875" style="176" customWidth="1"/>
    <col min="13073" max="13073" width="7.5" style="176" customWidth="1"/>
    <col min="13074" max="13074" width="7.875" style="176" customWidth="1"/>
    <col min="13075" max="13077" width="9" style="176" customWidth="1"/>
    <col min="13078" max="13078" width="13.875" style="176" customWidth="1"/>
    <col min="13079" max="13088" width="9" style="176"/>
    <col min="13089" max="13280" width="8.48333333333333" style="176" hidden="1"/>
    <col min="13281" max="13311" width="9" style="176"/>
    <col min="13312" max="13312" width="3.375" style="176" customWidth="1"/>
    <col min="13313" max="13313" width="4.25833333333333" style="176" customWidth="1"/>
    <col min="13314" max="13314" width="8.875" style="176" customWidth="1"/>
    <col min="13315" max="13315" width="19.7583333333333" style="176" customWidth="1"/>
    <col min="13316" max="13316" width="6.08333333333333" style="176" customWidth="1"/>
    <col min="13317" max="13317" width="6.625" style="176" customWidth="1"/>
    <col min="13318" max="13318" width="13.2583333333333" style="176" customWidth="1"/>
    <col min="13319" max="13322" width="8.875" style="176" customWidth="1"/>
    <col min="13323" max="13323" width="6.625" style="176" customWidth="1"/>
    <col min="13324" max="13324" width="12.7583333333333" style="176" customWidth="1"/>
    <col min="13325" max="13328" width="8.875" style="176" customWidth="1"/>
    <col min="13329" max="13329" width="7.5" style="176" customWidth="1"/>
    <col min="13330" max="13330" width="7.875" style="176" customWidth="1"/>
    <col min="13331" max="13333" width="9" style="176" customWidth="1"/>
    <col min="13334" max="13334" width="13.875" style="176" customWidth="1"/>
    <col min="13335" max="13344" width="9" style="176"/>
    <col min="13345" max="13536" width="8.48333333333333" style="176" hidden="1"/>
    <col min="13537" max="13567" width="9" style="176"/>
    <col min="13568" max="13568" width="3.375" style="176" customWidth="1"/>
    <col min="13569" max="13569" width="4.25833333333333" style="176" customWidth="1"/>
    <col min="13570" max="13570" width="8.875" style="176" customWidth="1"/>
    <col min="13571" max="13571" width="19.7583333333333" style="176" customWidth="1"/>
    <col min="13572" max="13572" width="6.08333333333333" style="176" customWidth="1"/>
    <col min="13573" max="13573" width="6.625" style="176" customWidth="1"/>
    <col min="13574" max="13574" width="13.2583333333333" style="176" customWidth="1"/>
    <col min="13575" max="13578" width="8.875" style="176" customWidth="1"/>
    <col min="13579" max="13579" width="6.625" style="176" customWidth="1"/>
    <col min="13580" max="13580" width="12.7583333333333" style="176" customWidth="1"/>
    <col min="13581" max="13584" width="8.875" style="176" customWidth="1"/>
    <col min="13585" max="13585" width="7.5" style="176" customWidth="1"/>
    <col min="13586" max="13586" width="7.875" style="176" customWidth="1"/>
    <col min="13587" max="13589" width="9" style="176" customWidth="1"/>
    <col min="13590" max="13590" width="13.875" style="176" customWidth="1"/>
    <col min="13591" max="13600" width="9" style="176"/>
    <col min="13601" max="13792" width="8.48333333333333" style="176" hidden="1"/>
    <col min="13793" max="13823" width="9" style="176"/>
    <col min="13824" max="13824" width="3.375" style="176" customWidth="1"/>
    <col min="13825" max="13825" width="4.25833333333333" style="176" customWidth="1"/>
    <col min="13826" max="13826" width="8.875" style="176" customWidth="1"/>
    <col min="13827" max="13827" width="19.7583333333333" style="176" customWidth="1"/>
    <col min="13828" max="13828" width="6.08333333333333" style="176" customWidth="1"/>
    <col min="13829" max="13829" width="6.625" style="176" customWidth="1"/>
    <col min="13830" max="13830" width="13.2583333333333" style="176" customWidth="1"/>
    <col min="13831" max="13834" width="8.875" style="176" customWidth="1"/>
    <col min="13835" max="13835" width="6.625" style="176" customWidth="1"/>
    <col min="13836" max="13836" width="12.7583333333333" style="176" customWidth="1"/>
    <col min="13837" max="13840" width="8.875" style="176" customWidth="1"/>
    <col min="13841" max="13841" width="7.5" style="176" customWidth="1"/>
    <col min="13842" max="13842" width="7.875" style="176" customWidth="1"/>
    <col min="13843" max="13845" width="9" style="176" customWidth="1"/>
    <col min="13846" max="13846" width="13.875" style="176" customWidth="1"/>
    <col min="13847" max="13856" width="9" style="176"/>
    <col min="13857" max="14048" width="8.48333333333333" style="176" hidden="1"/>
    <col min="14049" max="14079" width="9" style="176"/>
    <col min="14080" max="14080" width="3.375" style="176" customWidth="1"/>
    <col min="14081" max="14081" width="4.25833333333333" style="176" customWidth="1"/>
    <col min="14082" max="14082" width="8.875" style="176" customWidth="1"/>
    <col min="14083" max="14083" width="19.7583333333333" style="176" customWidth="1"/>
    <col min="14084" max="14084" width="6.08333333333333" style="176" customWidth="1"/>
    <col min="14085" max="14085" width="6.625" style="176" customWidth="1"/>
    <col min="14086" max="14086" width="13.2583333333333" style="176" customWidth="1"/>
    <col min="14087" max="14090" width="8.875" style="176" customWidth="1"/>
    <col min="14091" max="14091" width="6.625" style="176" customWidth="1"/>
    <col min="14092" max="14092" width="12.7583333333333" style="176" customWidth="1"/>
    <col min="14093" max="14096" width="8.875" style="176" customWidth="1"/>
    <col min="14097" max="14097" width="7.5" style="176" customWidth="1"/>
    <col min="14098" max="14098" width="7.875" style="176" customWidth="1"/>
    <col min="14099" max="14101" width="9" style="176" customWidth="1"/>
    <col min="14102" max="14102" width="13.875" style="176" customWidth="1"/>
    <col min="14103" max="14112" width="9" style="176"/>
    <col min="14113" max="14304" width="8.48333333333333" style="176" hidden="1"/>
    <col min="14305" max="14335" width="9" style="176"/>
    <col min="14336" max="14336" width="3.375" style="176" customWidth="1"/>
    <col min="14337" max="14337" width="4.25833333333333" style="176" customWidth="1"/>
    <col min="14338" max="14338" width="8.875" style="176" customWidth="1"/>
    <col min="14339" max="14339" width="19.7583333333333" style="176" customWidth="1"/>
    <col min="14340" max="14340" width="6.08333333333333" style="176" customWidth="1"/>
    <col min="14341" max="14341" width="6.625" style="176" customWidth="1"/>
    <col min="14342" max="14342" width="13.2583333333333" style="176" customWidth="1"/>
    <col min="14343" max="14346" width="8.875" style="176" customWidth="1"/>
    <col min="14347" max="14347" width="6.625" style="176" customWidth="1"/>
    <col min="14348" max="14348" width="12.7583333333333" style="176" customWidth="1"/>
    <col min="14349" max="14352" width="8.875" style="176" customWidth="1"/>
    <col min="14353" max="14353" width="7.5" style="176" customWidth="1"/>
    <col min="14354" max="14354" width="7.875" style="176" customWidth="1"/>
    <col min="14355" max="14357" width="9" style="176" customWidth="1"/>
    <col min="14358" max="14358" width="13.875" style="176" customWidth="1"/>
    <col min="14359" max="14368" width="9" style="176"/>
    <col min="14369" max="14560" width="8.48333333333333" style="176" hidden="1"/>
    <col min="14561" max="14591" width="9" style="176"/>
    <col min="14592" max="14592" width="3.375" style="176" customWidth="1"/>
    <col min="14593" max="14593" width="4.25833333333333" style="176" customWidth="1"/>
    <col min="14594" max="14594" width="8.875" style="176" customWidth="1"/>
    <col min="14595" max="14595" width="19.7583333333333" style="176" customWidth="1"/>
    <col min="14596" max="14596" width="6.08333333333333" style="176" customWidth="1"/>
    <col min="14597" max="14597" width="6.625" style="176" customWidth="1"/>
    <col min="14598" max="14598" width="13.2583333333333" style="176" customWidth="1"/>
    <col min="14599" max="14602" width="8.875" style="176" customWidth="1"/>
    <col min="14603" max="14603" width="6.625" style="176" customWidth="1"/>
    <col min="14604" max="14604" width="12.7583333333333" style="176" customWidth="1"/>
    <col min="14605" max="14608" width="8.875" style="176" customWidth="1"/>
    <col min="14609" max="14609" width="7.5" style="176" customWidth="1"/>
    <col min="14610" max="14610" width="7.875" style="176" customWidth="1"/>
    <col min="14611" max="14613" width="9" style="176" customWidth="1"/>
    <col min="14614" max="14614" width="13.875" style="176" customWidth="1"/>
    <col min="14615" max="14624" width="9" style="176"/>
    <col min="14625" max="14816" width="8.48333333333333" style="176" hidden="1"/>
    <col min="14817" max="14847" width="9" style="176"/>
    <col min="14848" max="14848" width="3.375" style="176" customWidth="1"/>
    <col min="14849" max="14849" width="4.25833333333333" style="176" customWidth="1"/>
    <col min="14850" max="14850" width="8.875" style="176" customWidth="1"/>
    <col min="14851" max="14851" width="19.7583333333333" style="176" customWidth="1"/>
    <col min="14852" max="14852" width="6.08333333333333" style="176" customWidth="1"/>
    <col min="14853" max="14853" width="6.625" style="176" customWidth="1"/>
    <col min="14854" max="14854" width="13.2583333333333" style="176" customWidth="1"/>
    <col min="14855" max="14858" width="8.875" style="176" customWidth="1"/>
    <col min="14859" max="14859" width="6.625" style="176" customWidth="1"/>
    <col min="14860" max="14860" width="12.7583333333333" style="176" customWidth="1"/>
    <col min="14861" max="14864" width="8.875" style="176" customWidth="1"/>
    <col min="14865" max="14865" width="7.5" style="176" customWidth="1"/>
    <col min="14866" max="14866" width="7.875" style="176" customWidth="1"/>
    <col min="14867" max="14869" width="9" style="176" customWidth="1"/>
    <col min="14870" max="14870" width="13.875" style="176" customWidth="1"/>
    <col min="14871" max="14880" width="9" style="176"/>
    <col min="14881" max="15072" width="8.48333333333333" style="176" hidden="1"/>
    <col min="15073" max="15103" width="9" style="176"/>
    <col min="15104" max="15104" width="3.375" style="176" customWidth="1"/>
    <col min="15105" max="15105" width="4.25833333333333" style="176" customWidth="1"/>
    <col min="15106" max="15106" width="8.875" style="176" customWidth="1"/>
    <col min="15107" max="15107" width="19.7583333333333" style="176" customWidth="1"/>
    <col min="15108" max="15108" width="6.08333333333333" style="176" customWidth="1"/>
    <col min="15109" max="15109" width="6.625" style="176" customWidth="1"/>
    <col min="15110" max="15110" width="13.2583333333333" style="176" customWidth="1"/>
    <col min="15111" max="15114" width="8.875" style="176" customWidth="1"/>
    <col min="15115" max="15115" width="6.625" style="176" customWidth="1"/>
    <col min="15116" max="15116" width="12.7583333333333" style="176" customWidth="1"/>
    <col min="15117" max="15120" width="8.875" style="176" customWidth="1"/>
    <col min="15121" max="15121" width="7.5" style="176" customWidth="1"/>
    <col min="15122" max="15122" width="7.875" style="176" customWidth="1"/>
    <col min="15123" max="15125" width="9" style="176" customWidth="1"/>
    <col min="15126" max="15126" width="13.875" style="176" customWidth="1"/>
    <col min="15127" max="15136" width="9" style="176"/>
    <col min="15137" max="15328" width="8.48333333333333" style="176" hidden="1"/>
    <col min="15329" max="15359" width="9" style="176"/>
    <col min="15360" max="15360" width="3.375" style="176" customWidth="1"/>
    <col min="15361" max="15361" width="4.25833333333333" style="176" customWidth="1"/>
    <col min="15362" max="15362" width="8.875" style="176" customWidth="1"/>
    <col min="15363" max="15363" width="19.7583333333333" style="176" customWidth="1"/>
    <col min="15364" max="15364" width="6.08333333333333" style="176" customWidth="1"/>
    <col min="15365" max="15365" width="6.625" style="176" customWidth="1"/>
    <col min="15366" max="15366" width="13.2583333333333" style="176" customWidth="1"/>
    <col min="15367" max="15370" width="8.875" style="176" customWidth="1"/>
    <col min="15371" max="15371" width="6.625" style="176" customWidth="1"/>
    <col min="15372" max="15372" width="12.7583333333333" style="176" customWidth="1"/>
    <col min="15373" max="15376" width="8.875" style="176" customWidth="1"/>
    <col min="15377" max="15377" width="7.5" style="176" customWidth="1"/>
    <col min="15378" max="15378" width="7.875" style="176" customWidth="1"/>
    <col min="15379" max="15381" width="9" style="176" customWidth="1"/>
    <col min="15382" max="15382" width="13.875" style="176" customWidth="1"/>
    <col min="15383" max="15392" width="9" style="176"/>
    <col min="15393" max="15584" width="8.48333333333333" style="176" hidden="1"/>
    <col min="15585" max="15615" width="9" style="176"/>
    <col min="15616" max="15616" width="3.375" style="176" customWidth="1"/>
    <col min="15617" max="15617" width="4.25833333333333" style="176" customWidth="1"/>
    <col min="15618" max="15618" width="8.875" style="176" customWidth="1"/>
    <col min="15619" max="15619" width="19.7583333333333" style="176" customWidth="1"/>
    <col min="15620" max="15620" width="6.08333333333333" style="176" customWidth="1"/>
    <col min="15621" max="15621" width="6.625" style="176" customWidth="1"/>
    <col min="15622" max="15622" width="13.2583333333333" style="176" customWidth="1"/>
    <col min="15623" max="15626" width="8.875" style="176" customWidth="1"/>
    <col min="15627" max="15627" width="6.625" style="176" customWidth="1"/>
    <col min="15628" max="15628" width="12.7583333333333" style="176" customWidth="1"/>
    <col min="15629" max="15632" width="8.875" style="176" customWidth="1"/>
    <col min="15633" max="15633" width="7.5" style="176" customWidth="1"/>
    <col min="15634" max="15634" width="7.875" style="176" customWidth="1"/>
    <col min="15635" max="15637" width="9" style="176" customWidth="1"/>
    <col min="15638" max="15638" width="13.875" style="176" customWidth="1"/>
    <col min="15639" max="15648" width="9" style="176"/>
    <col min="15649" max="15840" width="8.48333333333333" style="176" hidden="1"/>
    <col min="15841" max="15871" width="9" style="176"/>
    <col min="15872" max="15872" width="3.375" style="176" customWidth="1"/>
    <col min="15873" max="15873" width="4.25833333333333" style="176" customWidth="1"/>
    <col min="15874" max="15874" width="8.875" style="176" customWidth="1"/>
    <col min="15875" max="15875" width="19.7583333333333" style="176" customWidth="1"/>
    <col min="15876" max="15876" width="6.08333333333333" style="176" customWidth="1"/>
    <col min="15877" max="15877" width="6.625" style="176" customWidth="1"/>
    <col min="15878" max="15878" width="13.2583333333333" style="176" customWidth="1"/>
    <col min="15879" max="15882" width="8.875" style="176" customWidth="1"/>
    <col min="15883" max="15883" width="6.625" style="176" customWidth="1"/>
    <col min="15884" max="15884" width="12.7583333333333" style="176" customWidth="1"/>
    <col min="15885" max="15888" width="8.875" style="176" customWidth="1"/>
    <col min="15889" max="15889" width="7.5" style="176" customWidth="1"/>
    <col min="15890" max="15890" width="7.875" style="176" customWidth="1"/>
    <col min="15891" max="15893" width="9" style="176" customWidth="1"/>
    <col min="15894" max="15894" width="13.875" style="176" customWidth="1"/>
    <col min="15895" max="15904" width="9" style="176"/>
    <col min="15905" max="16096" width="8.48333333333333" style="176" hidden="1"/>
    <col min="16097" max="16127" width="9" style="176"/>
    <col min="16128" max="16128" width="3.375" style="176" customWidth="1"/>
    <col min="16129" max="16129" width="4.25833333333333" style="176" customWidth="1"/>
    <col min="16130" max="16130" width="8.875" style="176" customWidth="1"/>
    <col min="16131" max="16131" width="19.7583333333333" style="176" customWidth="1"/>
    <col min="16132" max="16132" width="6.08333333333333" style="176" customWidth="1"/>
    <col min="16133" max="16133" width="6.625" style="176" customWidth="1"/>
    <col min="16134" max="16134" width="13.2583333333333" style="176" customWidth="1"/>
    <col min="16135" max="16138" width="8.875" style="176" customWidth="1"/>
    <col min="16139" max="16139" width="6.625" style="176" customWidth="1"/>
    <col min="16140" max="16140" width="12.7583333333333" style="176" customWidth="1"/>
    <col min="16141" max="16144" width="8.875" style="176" customWidth="1"/>
    <col min="16145" max="16145" width="7.5" style="176" customWidth="1"/>
    <col min="16146" max="16146" width="7.875" style="176" customWidth="1"/>
    <col min="16147" max="16149" width="9" style="176" customWidth="1"/>
    <col min="16150" max="16150" width="13.875" style="176" customWidth="1"/>
    <col min="16151" max="16160" width="9" style="176"/>
    <col min="16161" max="16352" width="8.48333333333333" style="176" hidden="1"/>
    <col min="16353" max="16383" width="9" style="176"/>
    <col min="16384" max="16384" width="3.375" style="176" customWidth="1"/>
  </cols>
  <sheetData>
    <row r="1" s="131" customFormat="1" ht="33.95" customHeight="1" spans="1:22">
      <c r="A1" s="180" t="s">
        <v>226</v>
      </c>
      <c r="B1" s="180"/>
      <c r="C1" s="180"/>
      <c r="D1" s="180"/>
      <c r="E1" s="180"/>
      <c r="F1" s="180"/>
      <c r="G1" s="180"/>
      <c r="H1" s="180"/>
      <c r="I1" s="180"/>
      <c r="J1" s="190"/>
      <c r="K1" s="180"/>
      <c r="L1" s="180"/>
      <c r="M1" s="180"/>
      <c r="N1" s="180"/>
      <c r="O1" s="180"/>
      <c r="P1" s="190"/>
      <c r="Q1" s="180"/>
      <c r="R1" s="196"/>
      <c r="S1" s="197"/>
      <c r="T1" s="197"/>
      <c r="U1" s="197"/>
      <c r="V1" s="161"/>
    </row>
    <row r="2" s="175" customFormat="1" ht="18" customHeight="1" spans="1:22">
      <c r="A2" s="181" t="s">
        <v>1</v>
      </c>
      <c r="B2" s="181"/>
      <c r="C2" s="181"/>
      <c r="D2" s="181"/>
      <c r="E2" s="181"/>
      <c r="F2" s="181"/>
      <c r="G2" s="181"/>
      <c r="H2" s="181"/>
      <c r="I2" s="191"/>
      <c r="J2" s="192"/>
      <c r="K2" s="191"/>
      <c r="L2" s="191"/>
      <c r="M2" s="191"/>
      <c r="N2" s="191"/>
      <c r="O2" s="191"/>
      <c r="P2" s="192"/>
      <c r="Q2" s="198" t="s">
        <v>3</v>
      </c>
      <c r="R2" s="199"/>
      <c r="S2" s="200"/>
      <c r="T2" s="200"/>
      <c r="U2" s="200"/>
      <c r="V2" s="201"/>
    </row>
    <row r="3" s="3" customFormat="1" ht="22" customHeight="1" spans="1:19">
      <c r="A3" s="182" t="s">
        <v>4</v>
      </c>
      <c r="B3" s="182" t="s">
        <v>116</v>
      </c>
      <c r="C3" s="182" t="s">
        <v>195</v>
      </c>
      <c r="D3" s="182" t="s">
        <v>118</v>
      </c>
      <c r="E3" s="183" t="s">
        <v>7</v>
      </c>
      <c r="F3" s="183"/>
      <c r="G3" s="183"/>
      <c r="H3" s="183"/>
      <c r="I3" s="183"/>
      <c r="J3" s="193"/>
      <c r="K3" s="183" t="s">
        <v>8</v>
      </c>
      <c r="L3" s="183"/>
      <c r="M3" s="183"/>
      <c r="N3" s="183"/>
      <c r="O3" s="183"/>
      <c r="P3" s="193"/>
      <c r="Q3" s="202" t="s">
        <v>9</v>
      </c>
      <c r="R3" s="202" t="s">
        <v>10</v>
      </c>
      <c r="S3" s="203" t="s">
        <v>190</v>
      </c>
    </row>
    <row r="4" s="3" customFormat="1" ht="20" customHeight="1" spans="1:19">
      <c r="A4" s="182"/>
      <c r="B4" s="182"/>
      <c r="C4" s="182"/>
      <c r="D4" s="182"/>
      <c r="E4" s="182" t="s">
        <v>119</v>
      </c>
      <c r="F4" s="182" t="s">
        <v>227</v>
      </c>
      <c r="G4" s="182" t="s">
        <v>203</v>
      </c>
      <c r="H4" s="182"/>
      <c r="I4" s="182" t="s">
        <v>212</v>
      </c>
      <c r="J4" s="193"/>
      <c r="K4" s="182" t="s">
        <v>119</v>
      </c>
      <c r="L4" s="182" t="s">
        <v>227</v>
      </c>
      <c r="M4" s="182" t="s">
        <v>203</v>
      </c>
      <c r="N4" s="182"/>
      <c r="O4" s="182" t="s">
        <v>212</v>
      </c>
      <c r="P4" s="193"/>
      <c r="Q4" s="202"/>
      <c r="R4" s="202"/>
      <c r="S4" s="203"/>
    </row>
    <row r="5" s="3" customFormat="1" ht="22.5" spans="1:19">
      <c r="A5" s="182"/>
      <c r="B5" s="182"/>
      <c r="C5" s="182"/>
      <c r="D5" s="182"/>
      <c r="E5" s="182"/>
      <c r="F5" s="182"/>
      <c r="G5" s="184" t="s">
        <v>213</v>
      </c>
      <c r="H5" s="184" t="s">
        <v>214</v>
      </c>
      <c r="I5" s="184" t="s">
        <v>213</v>
      </c>
      <c r="J5" s="194" t="s">
        <v>214</v>
      </c>
      <c r="K5" s="182"/>
      <c r="L5" s="182"/>
      <c r="M5" s="184" t="s">
        <v>213</v>
      </c>
      <c r="N5" s="184" t="s">
        <v>214</v>
      </c>
      <c r="O5" s="184" t="s">
        <v>213</v>
      </c>
      <c r="P5" s="194" t="s">
        <v>214</v>
      </c>
      <c r="Q5" s="202"/>
      <c r="R5" s="202"/>
      <c r="S5" s="203"/>
    </row>
    <row r="6" s="176" customFormat="1" ht="25" customHeight="1" spans="1:18">
      <c r="A6" s="53">
        <v>1</v>
      </c>
      <c r="B6" s="185" t="s">
        <v>143</v>
      </c>
      <c r="C6" s="186" t="s">
        <v>144</v>
      </c>
      <c r="D6" s="53" t="s">
        <v>145</v>
      </c>
      <c r="E6" s="53">
        <f>'表三甲(451)'!F11</f>
        <v>1344</v>
      </c>
      <c r="F6" s="187" t="s">
        <v>218</v>
      </c>
      <c r="G6" s="54">
        <v>0.05</v>
      </c>
      <c r="H6" s="54">
        <v>153</v>
      </c>
      <c r="I6" s="54">
        <f t="shared" ref="I6:I15" si="0">E6*G6</f>
        <v>67.2</v>
      </c>
      <c r="J6" s="16">
        <f t="shared" ref="J6:J15" si="1">H6*I6</f>
        <v>10281.6</v>
      </c>
      <c r="K6" s="53">
        <f>表三甲!J11</f>
        <v>1344</v>
      </c>
      <c r="L6" s="187" t="s">
        <v>218</v>
      </c>
      <c r="M6" s="54">
        <v>0.05</v>
      </c>
      <c r="N6" s="54">
        <v>153</v>
      </c>
      <c r="O6" s="54">
        <f t="shared" ref="O6:O15" si="2">K6*M6</f>
        <v>67.2</v>
      </c>
      <c r="P6" s="16">
        <f t="shared" ref="P6:P15" si="3">N6*O6</f>
        <v>10281.6</v>
      </c>
      <c r="Q6" s="53"/>
      <c r="R6" s="16">
        <f>J6-P6</f>
        <v>0</v>
      </c>
    </row>
    <row r="7" s="176" customFormat="1" ht="45" customHeight="1" spans="1:18">
      <c r="A7" s="53">
        <v>2</v>
      </c>
      <c r="B7" s="185" t="s">
        <v>168</v>
      </c>
      <c r="C7" s="186" t="s">
        <v>169</v>
      </c>
      <c r="D7" s="53" t="s">
        <v>131</v>
      </c>
      <c r="E7" s="53">
        <f>'表三甲(451)'!F22+'表三甲(451)'!F23</f>
        <v>476</v>
      </c>
      <c r="F7" s="187" t="s">
        <v>219</v>
      </c>
      <c r="G7" s="54">
        <v>0.12</v>
      </c>
      <c r="H7" s="54">
        <v>140</v>
      </c>
      <c r="I7" s="54">
        <f t="shared" si="0"/>
        <v>57.12</v>
      </c>
      <c r="J7" s="16">
        <f t="shared" si="1"/>
        <v>7996.8</v>
      </c>
      <c r="K7" s="53">
        <f>表三甲!J22</f>
        <v>476</v>
      </c>
      <c r="L7" s="187" t="s">
        <v>219</v>
      </c>
      <c r="M7" s="54">
        <v>0.12</v>
      </c>
      <c r="N7" s="54">
        <v>140</v>
      </c>
      <c r="O7" s="54">
        <f t="shared" si="2"/>
        <v>57.12</v>
      </c>
      <c r="P7" s="16">
        <f t="shared" si="3"/>
        <v>7996.8</v>
      </c>
      <c r="Q7" s="53"/>
      <c r="R7" s="16">
        <f t="shared" ref="R7:R12" si="4">J7-P7</f>
        <v>0</v>
      </c>
    </row>
    <row r="8" s="176" customFormat="1" ht="47" customHeight="1" spans="1:18">
      <c r="A8" s="53">
        <v>3</v>
      </c>
      <c r="B8" s="185" t="s">
        <v>168</v>
      </c>
      <c r="C8" s="186" t="s">
        <v>169</v>
      </c>
      <c r="D8" s="53" t="s">
        <v>131</v>
      </c>
      <c r="E8" s="53">
        <f>E7</f>
        <v>476</v>
      </c>
      <c r="F8" s="187" t="s">
        <v>220</v>
      </c>
      <c r="G8" s="54">
        <v>0.12</v>
      </c>
      <c r="H8" s="54">
        <v>147</v>
      </c>
      <c r="I8" s="54">
        <f t="shared" si="0"/>
        <v>57.12</v>
      </c>
      <c r="J8" s="16">
        <f t="shared" si="1"/>
        <v>8396.64</v>
      </c>
      <c r="K8" s="53">
        <f>K7</f>
        <v>476</v>
      </c>
      <c r="L8" s="187" t="s">
        <v>220</v>
      </c>
      <c r="M8" s="54">
        <v>0.12</v>
      </c>
      <c r="N8" s="54">
        <v>147</v>
      </c>
      <c r="O8" s="54">
        <f t="shared" si="2"/>
        <v>57.12</v>
      </c>
      <c r="P8" s="16">
        <f t="shared" si="3"/>
        <v>8396.64</v>
      </c>
      <c r="Q8" s="53"/>
      <c r="R8" s="16">
        <f t="shared" si="4"/>
        <v>0</v>
      </c>
    </row>
    <row r="9" s="176" customFormat="1" ht="39" customHeight="1" spans="1:18">
      <c r="A9" s="53">
        <v>4</v>
      </c>
      <c r="B9" s="185" t="s">
        <v>171</v>
      </c>
      <c r="C9" s="186" t="s">
        <v>172</v>
      </c>
      <c r="D9" s="53" t="s">
        <v>139</v>
      </c>
      <c r="E9" s="53">
        <f>'表三甲(451)'!F24</f>
        <v>998</v>
      </c>
      <c r="F9" s="187" t="s">
        <v>221</v>
      </c>
      <c r="G9" s="54">
        <v>0.07</v>
      </c>
      <c r="H9" s="54">
        <v>140</v>
      </c>
      <c r="I9" s="54">
        <f t="shared" si="0"/>
        <v>69.86</v>
      </c>
      <c r="J9" s="16">
        <f t="shared" si="1"/>
        <v>9780.4</v>
      </c>
      <c r="K9" s="53">
        <f>表三甲!J24</f>
        <v>998</v>
      </c>
      <c r="L9" s="187" t="s">
        <v>221</v>
      </c>
      <c r="M9" s="54">
        <v>0.07</v>
      </c>
      <c r="N9" s="54">
        <v>140</v>
      </c>
      <c r="O9" s="54">
        <f t="shared" si="2"/>
        <v>69.86</v>
      </c>
      <c r="P9" s="16">
        <f t="shared" si="3"/>
        <v>9780.4</v>
      </c>
      <c r="Q9" s="53"/>
      <c r="R9" s="16">
        <f t="shared" si="4"/>
        <v>0</v>
      </c>
    </row>
    <row r="10" s="176" customFormat="1" ht="39" customHeight="1" spans="1:18">
      <c r="A10" s="53">
        <v>5</v>
      </c>
      <c r="B10" s="185" t="s">
        <v>171</v>
      </c>
      <c r="C10" s="186" t="s">
        <v>172</v>
      </c>
      <c r="D10" s="53" t="s">
        <v>139</v>
      </c>
      <c r="E10" s="53">
        <f>E9</f>
        <v>998</v>
      </c>
      <c r="F10" s="187" t="s">
        <v>222</v>
      </c>
      <c r="G10" s="54">
        <v>0.07</v>
      </c>
      <c r="H10" s="54">
        <v>125</v>
      </c>
      <c r="I10" s="54">
        <f t="shared" si="0"/>
        <v>69.86</v>
      </c>
      <c r="J10" s="16">
        <f t="shared" si="1"/>
        <v>8732.5</v>
      </c>
      <c r="K10" s="53">
        <f>K9</f>
        <v>998</v>
      </c>
      <c r="L10" s="187" t="s">
        <v>222</v>
      </c>
      <c r="M10" s="54">
        <v>0.07</v>
      </c>
      <c r="N10" s="54">
        <v>125</v>
      </c>
      <c r="O10" s="54">
        <f t="shared" si="2"/>
        <v>69.86</v>
      </c>
      <c r="P10" s="16">
        <f t="shared" si="3"/>
        <v>8732.5</v>
      </c>
      <c r="Q10" s="53"/>
      <c r="R10" s="16">
        <f t="shared" si="4"/>
        <v>0</v>
      </c>
    </row>
    <row r="11" s="176" customFormat="1" ht="36" customHeight="1" spans="1:18">
      <c r="A11" s="53">
        <v>6</v>
      </c>
      <c r="B11" s="185" t="s">
        <v>171</v>
      </c>
      <c r="C11" s="186" t="s">
        <v>172</v>
      </c>
      <c r="D11" s="53" t="s">
        <v>139</v>
      </c>
      <c r="E11" s="53">
        <f>E9</f>
        <v>998</v>
      </c>
      <c r="F11" s="187" t="s">
        <v>223</v>
      </c>
      <c r="G11" s="54">
        <v>0.07</v>
      </c>
      <c r="H11" s="54">
        <v>310</v>
      </c>
      <c r="I11" s="54">
        <f t="shared" si="0"/>
        <v>69.86</v>
      </c>
      <c r="J11" s="16">
        <f t="shared" si="1"/>
        <v>21656.6</v>
      </c>
      <c r="K11" s="53">
        <f>K9</f>
        <v>998</v>
      </c>
      <c r="L11" s="187" t="s">
        <v>223</v>
      </c>
      <c r="M11" s="54">
        <v>0.07</v>
      </c>
      <c r="N11" s="54">
        <v>310</v>
      </c>
      <c r="O11" s="54">
        <f t="shared" si="2"/>
        <v>69.86</v>
      </c>
      <c r="P11" s="16">
        <f t="shared" si="3"/>
        <v>21656.6</v>
      </c>
      <c r="Q11" s="53"/>
      <c r="R11" s="16">
        <f t="shared" si="4"/>
        <v>0</v>
      </c>
    </row>
    <row r="12" s="176" customFormat="1" ht="25" customHeight="1" spans="1:18">
      <c r="A12" s="53">
        <v>7</v>
      </c>
      <c r="B12" s="185"/>
      <c r="C12" s="188" t="s">
        <v>184</v>
      </c>
      <c r="D12" s="53"/>
      <c r="E12" s="53"/>
      <c r="F12" s="187"/>
      <c r="G12" s="54"/>
      <c r="H12" s="54"/>
      <c r="I12" s="54"/>
      <c r="J12" s="16">
        <f>SUM(J6:J11)</f>
        <v>66844.54</v>
      </c>
      <c r="K12" s="53"/>
      <c r="L12" s="187"/>
      <c r="M12" s="54"/>
      <c r="N12" s="54"/>
      <c r="O12" s="54"/>
      <c r="P12" s="16">
        <f>SUM(P6:P11)</f>
        <v>66844.54</v>
      </c>
      <c r="Q12" s="53"/>
      <c r="R12" s="16">
        <f t="shared" si="4"/>
        <v>0</v>
      </c>
    </row>
    <row r="13" s="176" customFormat="1" ht="15" customHeight="1" spans="1:18">
      <c r="A13" s="189" t="s">
        <v>32</v>
      </c>
      <c r="J13" s="195" t="s">
        <v>113</v>
      </c>
      <c r="P13" s="195" t="s">
        <v>113</v>
      </c>
      <c r="R13" s="179"/>
    </row>
    <row r="14" s="176" customFormat="1" spans="10:18">
      <c r="J14" s="179"/>
      <c r="P14" s="179"/>
      <c r="R14" s="179"/>
    </row>
  </sheetData>
  <mergeCells count="20">
    <mergeCell ref="A1:R1"/>
    <mergeCell ref="A2:H2"/>
    <mergeCell ref="Q2:R2"/>
    <mergeCell ref="E3:J3"/>
    <mergeCell ref="K3:P3"/>
    <mergeCell ref="G4:H4"/>
    <mergeCell ref="I4:J4"/>
    <mergeCell ref="M4:N4"/>
    <mergeCell ref="O4:P4"/>
    <mergeCell ref="A3:A5"/>
    <mergeCell ref="B3:B5"/>
    <mergeCell ref="C3:C5"/>
    <mergeCell ref="D3:D5"/>
    <mergeCell ref="E4:E5"/>
    <mergeCell ref="F4:F5"/>
    <mergeCell ref="K4:K5"/>
    <mergeCell ref="L4:L5"/>
    <mergeCell ref="Q3:Q5"/>
    <mergeCell ref="R3:R5"/>
    <mergeCell ref="S3:S5"/>
  </mergeCells>
  <printOptions horizontalCentered="1"/>
  <pageMargins left="0.393055555555556" right="0.393055555555556" top="0.590277777777778" bottom="0.393055555555556" header="0.5" footer="0.184722222222222"/>
  <pageSetup paperSize="9" scale="86" fitToHeight="0" orientation="landscape" horizontalDpi="600"/>
  <headerFooter>
    <oddFooter>&amp;C&amp;9第 &amp;P 页，共 &amp;N 页</oddFooter>
  </headerFooter>
  <ignoredErrors>
    <ignoredError sqref="O6:P11 I6:J11 K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表一</vt:lpstr>
      <vt:lpstr>表二(451)</vt:lpstr>
      <vt:lpstr>表三甲(451)</vt:lpstr>
      <vt:lpstr>表二</vt:lpstr>
      <vt:lpstr>表三甲</vt:lpstr>
      <vt:lpstr>表三乙(451)</vt:lpstr>
      <vt:lpstr>表三乙</vt:lpstr>
      <vt:lpstr>表三丙（451）</vt:lpstr>
      <vt:lpstr>表三丙</vt:lpstr>
      <vt:lpstr>表四甲 主设备</vt:lpstr>
      <vt:lpstr>表四甲-设备</vt:lpstr>
      <vt:lpstr>表四甲 材料表</vt:lpstr>
      <vt:lpstr>表四甲-材料</vt:lpstr>
      <vt:lpstr>表五</vt:lpstr>
      <vt:lpstr>计算稿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李益锋</dc:creator>
  <cp:lastModifiedBy>qzuser</cp:lastModifiedBy>
  <dcterms:created xsi:type="dcterms:W3CDTF">2016-12-13T07:55:00Z</dcterms:created>
  <cp:lastPrinted>2017-07-03T02:02:00Z</cp:lastPrinted>
  <dcterms:modified xsi:type="dcterms:W3CDTF">2024-02-05T05:00:09Z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E5750CFF242F4C19A86DE30B08134A72_13</vt:lpwstr>
  </property>
  <property fmtid="{D5CDD505-2E9C-101B-9397-08002B2CF9AE}" pid="4" name="KSOReadingLayout">
    <vt:bool>true</vt:bool>
  </property>
</Properties>
</file>